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REPORTS\Article V Performance Measure\2018-19 Reports\Collections Report\"/>
    </mc:Choice>
  </mc:AlternateContent>
  <bookViews>
    <workbookView xWindow="0" yWindow="0" windowWidth="25200" windowHeight="11250" tabRatio="857"/>
  </bookViews>
  <sheets>
    <sheet name="Circuit Criminal" sheetId="44" r:id="rId1"/>
    <sheet name="Drug Trafficking" sheetId="48" r:id="rId2"/>
    <sheet name="County Criminal" sheetId="49" r:id="rId3"/>
    <sheet name="Juvenile Delinquency" sheetId="50" r:id="rId4"/>
    <sheet name="Criminal Traffic" sheetId="51" r:id="rId5"/>
    <sheet name="Circuit Civil" sheetId="52" r:id="rId6"/>
    <sheet name="County Civil" sheetId="53" r:id="rId7"/>
    <sheet name="Probate" sheetId="55" r:id="rId8"/>
    <sheet name="Family" sheetId="56" r:id="rId9"/>
    <sheet name="Civil Traffic" sheetId="54" r:id="rId10"/>
    <sheet name="Sheet2" sheetId="58" r:id="rId11"/>
    <sheet name="Sheet1" sheetId="57" r:id="rId12"/>
    <sheet name="LookupData" sheetId="46" state="hidden" r:id="rId13"/>
    <sheet name="ReportInfo" sheetId="47" state="hidden" r:id="rId14"/>
  </sheets>
  <definedNames>
    <definedName name="_xlnm.Print_Area" localSheetId="5">'Circuit Civil'!$A$1:$N$53</definedName>
    <definedName name="_xlnm.Print_Area" localSheetId="0">'Circuit Criminal'!$A$1:$N$51</definedName>
    <definedName name="_xlnm.Print_Area" localSheetId="9">'Civil Traffic'!$A$1:$N$53</definedName>
    <definedName name="_xlnm.Print_Area" localSheetId="6">'County Civil'!$A$1:$N$53</definedName>
    <definedName name="_xlnm.Print_Area" localSheetId="2">'County Criminal'!$A$1:$N$51</definedName>
    <definedName name="_xlnm.Print_Area" localSheetId="4">'Criminal Traffic'!$A$1:$N$53</definedName>
    <definedName name="_xlnm.Print_Area" localSheetId="1">'Drug Trafficking'!$A$1:$N$51</definedName>
    <definedName name="_xlnm.Print_Area" localSheetId="8">Family!$A$1:$N$53</definedName>
    <definedName name="_xlnm.Print_Area" localSheetId="3">'Juvenile Delinquency'!$A$1:$N$53</definedName>
    <definedName name="_xlnm.Print_Area" localSheetId="7">Probate!$A$1:$N$53</definedName>
    <definedName name="_xlnm.Print_Titles" localSheetId="5">'Circuit Civil'!$1:$4</definedName>
    <definedName name="_xlnm.Print_Titles" localSheetId="0">'Circuit Criminal'!$1:$4</definedName>
    <definedName name="_xlnm.Print_Titles" localSheetId="9">'Civil Traffic'!$1:$4</definedName>
    <definedName name="_xlnm.Print_Titles" localSheetId="6">'County Civil'!$1:$4</definedName>
    <definedName name="_xlnm.Print_Titles" localSheetId="2">'County Criminal'!$1:$4</definedName>
    <definedName name="_xlnm.Print_Titles" localSheetId="4">'Criminal Traffic'!$1:$4</definedName>
    <definedName name="_xlnm.Print_Titles" localSheetId="1">'Drug Trafficking'!$1:$4</definedName>
    <definedName name="_xlnm.Print_Titles" localSheetId="8">Family!$1:$4</definedName>
    <definedName name="_xlnm.Print_Titles" localSheetId="3">'Juvenile Delinquency'!$1:$4</definedName>
    <definedName name="_xlnm.Print_Titles" localSheetId="7">Probate!$1:$4</definedName>
  </definedNames>
  <calcPr calcId="162913"/>
</workbook>
</file>

<file path=xl/calcChain.xml><?xml version="1.0" encoding="utf-8"?>
<calcChain xmlns="http://schemas.openxmlformats.org/spreadsheetml/2006/main">
  <c r="I31" i="48" l="1"/>
  <c r="I27" i="48"/>
  <c r="I23" i="48"/>
  <c r="I19" i="48"/>
  <c r="I15" i="48"/>
  <c r="L43" i="48"/>
  <c r="L39" i="48"/>
  <c r="K39" i="48"/>
  <c r="L35" i="48"/>
  <c r="K35" i="48"/>
  <c r="J35" i="48"/>
  <c r="L31" i="48"/>
  <c r="K31" i="48"/>
  <c r="J31" i="48"/>
  <c r="L27" i="48"/>
  <c r="K27" i="48"/>
  <c r="J27" i="48"/>
  <c r="K23" i="48"/>
  <c r="J23" i="48"/>
  <c r="J19" i="48"/>
  <c r="H4" i="54" l="1"/>
  <c r="N26" i="48" l="1"/>
  <c r="N25" i="48"/>
  <c r="N22" i="48"/>
  <c r="N21" i="48"/>
  <c r="N18" i="48"/>
  <c r="N17" i="48"/>
  <c r="N4" i="54"/>
  <c r="N4" i="56"/>
  <c r="N4" i="55"/>
  <c r="N4" i="53"/>
  <c r="N4" i="52"/>
  <c r="N4" i="49"/>
  <c r="N4" i="51"/>
  <c r="N4" i="50"/>
  <c r="K4" i="48"/>
  <c r="A2" i="54"/>
  <c r="A2" i="56"/>
  <c r="A2" i="55"/>
  <c r="A2" i="53"/>
  <c r="A2" i="52"/>
  <c r="A2" i="51"/>
  <c r="A2" i="50"/>
  <c r="A2" i="49"/>
  <c r="A2" i="48"/>
  <c r="D4" i="54" l="1"/>
  <c r="B9" i="47" l="1"/>
  <c r="B7" i="47"/>
  <c r="N14" i="48" l="1"/>
  <c r="N13" i="48"/>
  <c r="D4" i="50"/>
  <c r="D6" i="49"/>
  <c r="D6" i="50"/>
  <c r="D6" i="51"/>
  <c r="D6" i="52"/>
  <c r="D6" i="53"/>
  <c r="D6" i="54"/>
  <c r="D6" i="55"/>
  <c r="D6" i="56"/>
  <c r="D6" i="48"/>
  <c r="D5" i="49"/>
  <c r="D5" i="50"/>
  <c r="D5" i="51"/>
  <c r="D5" i="52"/>
  <c r="D5" i="53"/>
  <c r="D5" i="54"/>
  <c r="D5" i="55"/>
  <c r="D5" i="56"/>
  <c r="D5" i="48"/>
  <c r="L4" i="49"/>
  <c r="L4" i="50"/>
  <c r="L4" i="51"/>
  <c r="L4" i="52"/>
  <c r="L4" i="53"/>
  <c r="L4" i="54"/>
  <c r="L4" i="55"/>
  <c r="L4" i="56"/>
  <c r="H6" i="48"/>
  <c r="H4" i="49"/>
  <c r="H4" i="50"/>
  <c r="H4" i="51"/>
  <c r="H4" i="52"/>
  <c r="H4" i="53"/>
  <c r="H4" i="55"/>
  <c r="H4" i="56"/>
  <c r="H4" i="48"/>
  <c r="D4" i="49"/>
  <c r="D4" i="51"/>
  <c r="D4" i="52"/>
  <c r="D4" i="53"/>
  <c r="D4" i="55"/>
  <c r="D4" i="56"/>
  <c r="D4" i="48"/>
  <c r="N23" i="48" l="1"/>
  <c r="N15" i="48"/>
  <c r="N19" i="48"/>
  <c r="N27" i="48"/>
  <c r="L43" i="56"/>
  <c r="L39" i="56"/>
  <c r="K39" i="56"/>
  <c r="L35" i="56"/>
  <c r="K35" i="56"/>
  <c r="J35" i="56"/>
  <c r="L31" i="56"/>
  <c r="K31" i="56"/>
  <c r="J31" i="56"/>
  <c r="I31" i="56"/>
  <c r="L27" i="56"/>
  <c r="K27" i="56"/>
  <c r="J27" i="56"/>
  <c r="I27" i="56"/>
  <c r="K23" i="56"/>
  <c r="J23" i="56"/>
  <c r="I23" i="56"/>
  <c r="J19" i="56"/>
  <c r="I19" i="56"/>
  <c r="I15" i="56"/>
  <c r="D8" i="56"/>
  <c r="L43" i="55"/>
  <c r="L39" i="55"/>
  <c r="K39" i="55"/>
  <c r="L35" i="55"/>
  <c r="K35" i="55"/>
  <c r="J35" i="55"/>
  <c r="L31" i="55"/>
  <c r="K31" i="55"/>
  <c r="J31" i="55"/>
  <c r="I31" i="55"/>
  <c r="L27" i="55"/>
  <c r="K27" i="55"/>
  <c r="J27" i="55"/>
  <c r="I27" i="55"/>
  <c r="K23" i="55"/>
  <c r="J23" i="55"/>
  <c r="I23" i="55"/>
  <c r="J19" i="55"/>
  <c r="I19" i="55"/>
  <c r="I15" i="55"/>
  <c r="D8" i="55"/>
  <c r="L43" i="54"/>
  <c r="L39" i="54"/>
  <c r="K39" i="54"/>
  <c r="L35" i="54"/>
  <c r="K35" i="54"/>
  <c r="J35" i="54"/>
  <c r="L31" i="54"/>
  <c r="K31" i="54"/>
  <c r="J31" i="54"/>
  <c r="I31" i="54"/>
  <c r="L27" i="54"/>
  <c r="K27" i="54"/>
  <c r="J27" i="54"/>
  <c r="I27" i="54"/>
  <c r="K23" i="54"/>
  <c r="J23" i="54"/>
  <c r="I23" i="54"/>
  <c r="J19" i="54"/>
  <c r="I19" i="54"/>
  <c r="I15" i="54"/>
  <c r="D8" i="54"/>
  <c r="L43" i="53"/>
  <c r="L39" i="53"/>
  <c r="K39" i="53"/>
  <c r="L35" i="53"/>
  <c r="K35" i="53"/>
  <c r="J35" i="53"/>
  <c r="L31" i="53"/>
  <c r="K31" i="53"/>
  <c r="J31" i="53"/>
  <c r="I31" i="53"/>
  <c r="L27" i="53"/>
  <c r="K27" i="53"/>
  <c r="J27" i="53"/>
  <c r="I27" i="53"/>
  <c r="K23" i="53"/>
  <c r="J23" i="53"/>
  <c r="I23" i="53"/>
  <c r="J19" i="53"/>
  <c r="I19" i="53"/>
  <c r="I15" i="53"/>
  <c r="D8" i="53"/>
  <c r="L43" i="52"/>
  <c r="L39" i="52"/>
  <c r="K39" i="52"/>
  <c r="L35" i="52"/>
  <c r="K35" i="52"/>
  <c r="J35" i="52"/>
  <c r="L31" i="52"/>
  <c r="K31" i="52"/>
  <c r="J31" i="52"/>
  <c r="I31" i="52"/>
  <c r="L27" i="52"/>
  <c r="K27" i="52"/>
  <c r="J27" i="52"/>
  <c r="I27" i="52"/>
  <c r="K23" i="52"/>
  <c r="J23" i="52"/>
  <c r="I23" i="52"/>
  <c r="J19" i="52"/>
  <c r="I19" i="52"/>
  <c r="I15" i="52"/>
  <c r="D8" i="52"/>
  <c r="L43" i="51"/>
  <c r="L39" i="51"/>
  <c r="K39" i="51"/>
  <c r="L35" i="51"/>
  <c r="K35" i="51"/>
  <c r="J35" i="51"/>
  <c r="L31" i="51"/>
  <c r="K31" i="51"/>
  <c r="J31" i="51"/>
  <c r="I31" i="51"/>
  <c r="L27" i="51"/>
  <c r="K27" i="51"/>
  <c r="J27" i="51"/>
  <c r="I27" i="51"/>
  <c r="K23" i="51"/>
  <c r="J23" i="51"/>
  <c r="I23" i="51"/>
  <c r="J19" i="51"/>
  <c r="I19" i="51"/>
  <c r="I15" i="51"/>
  <c r="D8" i="51"/>
  <c r="L43" i="50"/>
  <c r="L39" i="50"/>
  <c r="K39" i="50"/>
  <c r="L35" i="50"/>
  <c r="K35" i="50"/>
  <c r="J35" i="50"/>
  <c r="L31" i="50"/>
  <c r="K31" i="50"/>
  <c r="J31" i="50"/>
  <c r="I31" i="50"/>
  <c r="L27" i="50"/>
  <c r="K27" i="50"/>
  <c r="J27" i="50"/>
  <c r="I27" i="50"/>
  <c r="K23" i="50"/>
  <c r="J23" i="50"/>
  <c r="I23" i="50"/>
  <c r="J19" i="50"/>
  <c r="I19" i="50"/>
  <c r="I15" i="50"/>
  <c r="D8" i="50"/>
  <c r="L43" i="49"/>
  <c r="L39" i="49"/>
  <c r="K39" i="49"/>
  <c r="L35" i="49"/>
  <c r="K35" i="49"/>
  <c r="J35" i="49"/>
  <c r="L31" i="49"/>
  <c r="K31" i="49"/>
  <c r="J31" i="49"/>
  <c r="I31" i="49"/>
  <c r="L27" i="49"/>
  <c r="K27" i="49"/>
  <c r="J27" i="49"/>
  <c r="I27" i="49"/>
  <c r="K23" i="49"/>
  <c r="J23" i="49"/>
  <c r="I23" i="49"/>
  <c r="J19" i="49"/>
  <c r="I19" i="49"/>
  <c r="I15" i="49"/>
  <c r="D8" i="49"/>
  <c r="D8" i="48"/>
  <c r="H21" i="48" s="1"/>
  <c r="G21" i="54" l="1"/>
  <c r="G17" i="54"/>
  <c r="F14" i="54"/>
  <c r="E14" i="54"/>
  <c r="H18" i="54"/>
  <c r="F13" i="54"/>
  <c r="G18" i="54"/>
  <c r="G22" i="54"/>
  <c r="H21" i="54"/>
  <c r="H26" i="54"/>
  <c r="F17" i="54"/>
  <c r="H13" i="54"/>
  <c r="G13" i="54"/>
  <c r="F18" i="54"/>
  <c r="H25" i="54"/>
  <c r="E13" i="54"/>
  <c r="H14" i="54"/>
  <c r="G14" i="54"/>
  <c r="H22" i="54"/>
  <c r="H17" i="54"/>
  <c r="H26" i="56"/>
  <c r="F17" i="56"/>
  <c r="E14" i="56"/>
  <c r="G13" i="56"/>
  <c r="F13" i="56"/>
  <c r="G22" i="56"/>
  <c r="H14" i="56"/>
  <c r="F14" i="56"/>
  <c r="H25" i="56"/>
  <c r="H13" i="56"/>
  <c r="G18" i="56"/>
  <c r="F18" i="56"/>
  <c r="G14" i="56"/>
  <c r="G17" i="56"/>
  <c r="H18" i="56"/>
  <c r="E13" i="56"/>
  <c r="H17" i="56"/>
  <c r="H22" i="56"/>
  <c r="H21" i="56"/>
  <c r="G21" i="56"/>
  <c r="G21" i="55"/>
  <c r="G17" i="55"/>
  <c r="F14" i="55"/>
  <c r="F18" i="55"/>
  <c r="G14" i="55"/>
  <c r="H26" i="55"/>
  <c r="F17" i="55"/>
  <c r="E14" i="55"/>
  <c r="H18" i="55"/>
  <c r="G18" i="55"/>
  <c r="G19" i="55" s="1"/>
  <c r="E13" i="55"/>
  <c r="H14" i="55"/>
  <c r="H25" i="55"/>
  <c r="H13" i="55"/>
  <c r="G13" i="55"/>
  <c r="F13" i="55"/>
  <c r="G22" i="55"/>
  <c r="G23" i="55" s="1"/>
  <c r="H17" i="55"/>
  <c r="H22" i="55"/>
  <c r="H21" i="55"/>
  <c r="H26" i="53"/>
  <c r="F17" i="53"/>
  <c r="E14" i="53"/>
  <c r="F13" i="53"/>
  <c r="G18" i="53"/>
  <c r="E13" i="53"/>
  <c r="G22" i="53"/>
  <c r="H21" i="53"/>
  <c r="G21" i="53"/>
  <c r="G17" i="53"/>
  <c r="H25" i="53"/>
  <c r="H13" i="53"/>
  <c r="G13" i="53"/>
  <c r="H18" i="53"/>
  <c r="H22" i="53"/>
  <c r="F18" i="53"/>
  <c r="H14" i="53"/>
  <c r="H17" i="53"/>
  <c r="G14" i="53"/>
  <c r="F14" i="53"/>
  <c r="H25" i="52"/>
  <c r="H13" i="52"/>
  <c r="H18" i="52"/>
  <c r="H22" i="52"/>
  <c r="E13" i="52"/>
  <c r="G22" i="52"/>
  <c r="H21" i="52"/>
  <c r="G14" i="52"/>
  <c r="F17" i="52"/>
  <c r="G13" i="52"/>
  <c r="F13" i="52"/>
  <c r="G18" i="52"/>
  <c r="F18" i="52"/>
  <c r="H17" i="52"/>
  <c r="G21" i="52"/>
  <c r="H26" i="52"/>
  <c r="E14" i="52"/>
  <c r="H14" i="52"/>
  <c r="G17" i="52"/>
  <c r="F14" i="52"/>
  <c r="H25" i="51"/>
  <c r="H13" i="51"/>
  <c r="H18" i="51"/>
  <c r="H22" i="51"/>
  <c r="F18" i="51"/>
  <c r="H21" i="51"/>
  <c r="G17" i="51"/>
  <c r="H26" i="51"/>
  <c r="E14" i="51"/>
  <c r="G13" i="51"/>
  <c r="F13" i="51"/>
  <c r="G18" i="51"/>
  <c r="E13" i="51"/>
  <c r="H14" i="51"/>
  <c r="H17" i="51"/>
  <c r="G14" i="51"/>
  <c r="G21" i="51"/>
  <c r="F14" i="51"/>
  <c r="F17" i="51"/>
  <c r="G22" i="51"/>
  <c r="G21" i="50"/>
  <c r="G17" i="50"/>
  <c r="F14" i="50"/>
  <c r="H26" i="50"/>
  <c r="F17" i="50"/>
  <c r="E14" i="50"/>
  <c r="H18" i="50"/>
  <c r="G18" i="50"/>
  <c r="F18" i="50"/>
  <c r="H17" i="50"/>
  <c r="H25" i="50"/>
  <c r="H13" i="50"/>
  <c r="G13" i="50"/>
  <c r="E13" i="50"/>
  <c r="H14" i="50"/>
  <c r="G14" i="50"/>
  <c r="G22" i="50"/>
  <c r="G23" i="50" s="1"/>
  <c r="F13" i="50"/>
  <c r="H22" i="50"/>
  <c r="H21" i="50"/>
  <c r="H25" i="49"/>
  <c r="H13" i="49"/>
  <c r="G13" i="49"/>
  <c r="F14" i="49"/>
  <c r="F17" i="49"/>
  <c r="H18" i="49"/>
  <c r="F13" i="49"/>
  <c r="G18" i="49"/>
  <c r="E13" i="49"/>
  <c r="G14" i="49"/>
  <c r="G21" i="49"/>
  <c r="G17" i="49"/>
  <c r="E14" i="49"/>
  <c r="G22" i="49"/>
  <c r="F18" i="49"/>
  <c r="H14" i="49"/>
  <c r="H21" i="49"/>
  <c r="H17" i="49"/>
  <c r="H26" i="49"/>
  <c r="G21" i="48"/>
  <c r="G17" i="48"/>
  <c r="F17" i="48"/>
  <c r="H8" i="51"/>
  <c r="H8" i="52"/>
  <c r="H8" i="53"/>
  <c r="H8" i="54"/>
  <c r="H8" i="55"/>
  <c r="H8" i="56"/>
  <c r="H8" i="50"/>
  <c r="H8" i="49"/>
  <c r="H8" i="48"/>
  <c r="L43" i="44"/>
  <c r="L39" i="44"/>
  <c r="K39" i="44"/>
  <c r="L35" i="44"/>
  <c r="K35" i="44"/>
  <c r="J35" i="44"/>
  <c r="L31" i="44"/>
  <c r="K31" i="44"/>
  <c r="J31" i="44"/>
  <c r="I31" i="44"/>
  <c r="L27" i="44"/>
  <c r="K27" i="44"/>
  <c r="J27" i="44"/>
  <c r="K23" i="44"/>
  <c r="J23" i="44"/>
  <c r="I23" i="44"/>
  <c r="J19" i="44"/>
  <c r="I19" i="44"/>
  <c r="I15" i="44"/>
  <c r="E213" i="47"/>
  <c r="G103" i="47"/>
  <c r="G137" i="47"/>
  <c r="G104" i="47"/>
  <c r="G134" i="47"/>
  <c r="E233" i="47"/>
  <c r="N79" i="47"/>
  <c r="E230" i="47"/>
  <c r="N55" i="47"/>
  <c r="G141" i="47"/>
  <c r="E224" i="47"/>
  <c r="N80" i="47"/>
  <c r="G170" i="47"/>
  <c r="E226" i="47"/>
  <c r="G158" i="47"/>
  <c r="E219" i="47"/>
  <c r="E229" i="47"/>
  <c r="N69" i="47"/>
  <c r="N96" i="47"/>
  <c r="G125" i="47"/>
  <c r="G116" i="47"/>
  <c r="N94" i="47"/>
  <c r="N45" i="47"/>
  <c r="N30" i="47"/>
  <c r="G130" i="47"/>
  <c r="G143" i="47"/>
  <c r="G126" i="47"/>
  <c r="G147" i="47"/>
  <c r="G167" i="47"/>
  <c r="N53" i="47"/>
  <c r="N22" i="47"/>
  <c r="E218" i="47"/>
  <c r="E246" i="47"/>
  <c r="G136" i="47"/>
  <c r="G131" i="47"/>
  <c r="E236" i="47"/>
  <c r="G113" i="47"/>
  <c r="G118" i="47"/>
  <c r="E225" i="47"/>
  <c r="N38" i="47"/>
  <c r="G105" i="47"/>
  <c r="E232" i="47"/>
  <c r="E216" i="47"/>
  <c r="G128" i="47"/>
  <c r="G152" i="47"/>
  <c r="N32" i="47"/>
  <c r="E211" i="47"/>
  <c r="G106" i="47"/>
  <c r="G165" i="47"/>
  <c r="E239" i="47"/>
  <c r="G115" i="47"/>
  <c r="G138" i="47"/>
  <c r="G151" i="47"/>
  <c r="G149" i="47"/>
  <c r="G154" i="47"/>
  <c r="N63" i="47"/>
  <c r="G140" i="47"/>
  <c r="G114" i="47"/>
  <c r="G161" i="47"/>
  <c r="E220" i="47"/>
  <c r="E241" i="47"/>
  <c r="N61" i="47"/>
  <c r="G122" i="47"/>
  <c r="N24" i="47"/>
  <c r="N40" i="47"/>
  <c r="E227" i="47"/>
  <c r="G109" i="47"/>
  <c r="G124" i="47"/>
  <c r="E223" i="47"/>
  <c r="N37" i="47"/>
  <c r="G107" i="47"/>
  <c r="E234" i="47"/>
  <c r="G132" i="47"/>
  <c r="N21" i="47"/>
  <c r="G133" i="47"/>
  <c r="G120" i="47"/>
  <c r="N93" i="47"/>
  <c r="G169" i="47"/>
  <c r="E215" i="47"/>
  <c r="E238" i="47"/>
  <c r="N54" i="47"/>
  <c r="G166" i="47"/>
  <c r="G102" i="47"/>
  <c r="E244" i="47"/>
  <c r="N64" i="47"/>
  <c r="N95" i="47"/>
  <c r="G172" i="47"/>
  <c r="G142" i="47"/>
  <c r="E212" i="47"/>
  <c r="G164" i="47"/>
  <c r="N48" i="47"/>
  <c r="E245" i="47"/>
  <c r="N62" i="47"/>
  <c r="G112" i="47"/>
  <c r="G127" i="47"/>
  <c r="N77" i="47"/>
  <c r="G110" i="47"/>
  <c r="G146" i="47"/>
  <c r="G119" i="47"/>
  <c r="N86" i="47"/>
  <c r="E243" i="47"/>
  <c r="G135" i="47"/>
  <c r="N31" i="47"/>
  <c r="E222" i="47"/>
  <c r="G144" i="47"/>
  <c r="E214" i="47"/>
  <c r="G171" i="47"/>
  <c r="E231" i="47"/>
  <c r="G153" i="47"/>
  <c r="G163" i="47"/>
  <c r="E228" i="47"/>
  <c r="N70" i="47"/>
  <c r="N47" i="47"/>
  <c r="G117" i="47"/>
  <c r="E221" i="47"/>
  <c r="G155" i="47"/>
  <c r="N78" i="47"/>
  <c r="N85" i="47"/>
  <c r="N88" i="47"/>
  <c r="G173" i="47"/>
  <c r="G160" i="47"/>
  <c r="G145" i="47"/>
  <c r="G129" i="47"/>
  <c r="G150" i="47"/>
  <c r="N46" i="47"/>
  <c r="G108" i="47"/>
  <c r="N87" i="47"/>
  <c r="E240" i="47"/>
  <c r="N29" i="47"/>
  <c r="G121" i="47"/>
  <c r="G111" i="47"/>
  <c r="G123" i="47"/>
  <c r="G162" i="47"/>
  <c r="N71" i="47"/>
  <c r="E242" i="47"/>
  <c r="G139" i="47"/>
  <c r="G157" i="47"/>
  <c r="N23" i="47"/>
  <c r="E235" i="47"/>
  <c r="G168" i="47"/>
  <c r="N56" i="47"/>
  <c r="N72" i="47"/>
  <c r="G148" i="47"/>
  <c r="N39" i="47"/>
  <c r="E237" i="47"/>
  <c r="G159" i="47"/>
  <c r="G156" i="47"/>
  <c r="E217" i="47"/>
  <c r="H15" i="52" l="1"/>
  <c r="H23" i="54"/>
  <c r="G177" i="47"/>
  <c r="G207" i="47"/>
  <c r="G192" i="47"/>
  <c r="G189" i="47"/>
  <c r="G196" i="47"/>
  <c r="G204" i="47"/>
  <c r="G195" i="47"/>
  <c r="G197" i="47"/>
  <c r="G181" i="47"/>
  <c r="G179" i="47"/>
  <c r="G187" i="47"/>
  <c r="G198" i="47"/>
  <c r="G178" i="47"/>
  <c r="G200" i="47"/>
  <c r="G205" i="47"/>
  <c r="G183" i="47"/>
  <c r="G176" i="47"/>
  <c r="G206" i="47"/>
  <c r="G185" i="47"/>
  <c r="G174" i="47"/>
  <c r="G190" i="47"/>
  <c r="G201" i="47"/>
  <c r="G182" i="47"/>
  <c r="G199" i="47"/>
  <c r="G202" i="47"/>
  <c r="G175" i="47"/>
  <c r="G203" i="47"/>
  <c r="G194" i="47"/>
  <c r="G186" i="47"/>
  <c r="G184" i="47"/>
  <c r="G193" i="47"/>
  <c r="G188" i="47"/>
  <c r="G208" i="47"/>
  <c r="G180" i="47"/>
  <c r="G209" i="47"/>
  <c r="G191" i="47"/>
  <c r="G15" i="49"/>
  <c r="G23" i="54"/>
  <c r="H27" i="52"/>
  <c r="F15" i="53"/>
  <c r="G15" i="54"/>
  <c r="G19" i="48"/>
  <c r="F19" i="48"/>
  <c r="F15" i="48"/>
  <c r="H19" i="48"/>
  <c r="H15" i="54"/>
  <c r="G23" i="48"/>
  <c r="H15" i="48"/>
  <c r="E15" i="48"/>
  <c r="G19" i="54"/>
  <c r="F19" i="54"/>
  <c r="G15" i="48"/>
  <c r="H23" i="48"/>
  <c r="F19" i="56"/>
  <c r="F19" i="49"/>
  <c r="H27" i="51"/>
  <c r="F15" i="56"/>
  <c r="F19" i="55"/>
  <c r="H19" i="56"/>
  <c r="G19" i="56"/>
  <c r="H19" i="54"/>
  <c r="E15" i="54"/>
  <c r="H15" i="56"/>
  <c r="F15" i="54"/>
  <c r="H27" i="54"/>
  <c r="G15" i="56"/>
  <c r="H23" i="55"/>
  <c r="G23" i="56"/>
  <c r="H27" i="49"/>
  <c r="E15" i="55"/>
  <c r="E15" i="56"/>
  <c r="H27" i="55"/>
  <c r="H23" i="56"/>
  <c r="H27" i="56"/>
  <c r="G15" i="53"/>
  <c r="H15" i="49"/>
  <c r="F19" i="52"/>
  <c r="H15" i="53"/>
  <c r="G15" i="55"/>
  <c r="G15" i="51"/>
  <c r="F15" i="52"/>
  <c r="F19" i="53"/>
  <c r="H15" i="55"/>
  <c r="F15" i="55"/>
  <c r="E15" i="49"/>
  <c r="H15" i="51"/>
  <c r="H19" i="53"/>
  <c r="H19" i="55"/>
  <c r="H23" i="53"/>
  <c r="G23" i="53"/>
  <c r="F19" i="50"/>
  <c r="E15" i="52"/>
  <c r="G19" i="53"/>
  <c r="F15" i="49"/>
  <c r="G15" i="50"/>
  <c r="G23" i="51"/>
  <c r="G19" i="51"/>
  <c r="G15" i="52"/>
  <c r="E15" i="53"/>
  <c r="H27" i="53"/>
  <c r="F15" i="51"/>
  <c r="G23" i="52"/>
  <c r="G19" i="52"/>
  <c r="H23" i="52"/>
  <c r="H19" i="52"/>
  <c r="F19" i="51"/>
  <c r="G19" i="50"/>
  <c r="H23" i="51"/>
  <c r="H15" i="50"/>
  <c r="H19" i="50"/>
  <c r="H19" i="51"/>
  <c r="E15" i="51"/>
  <c r="E15" i="50"/>
  <c r="H23" i="49"/>
  <c r="H27" i="50"/>
  <c r="G23" i="49"/>
  <c r="H23" i="50"/>
  <c r="F15" i="50"/>
  <c r="H19" i="49"/>
  <c r="G19" i="49"/>
  <c r="H27" i="48"/>
  <c r="D8" i="44"/>
  <c r="Y10" i="46"/>
  <c r="Y9" i="46"/>
  <c r="Y8" i="46"/>
  <c r="Y7" i="46"/>
  <c r="Y6" i="46"/>
  <c r="Y5" i="46"/>
  <c r="Y4" i="46"/>
  <c r="Y3" i="46"/>
  <c r="X10" i="46"/>
  <c r="X9" i="46"/>
  <c r="X8" i="46"/>
  <c r="X7" i="46"/>
  <c r="X6" i="46"/>
  <c r="X5" i="46"/>
  <c r="X4" i="46"/>
  <c r="X3" i="46"/>
  <c r="W10" i="46"/>
  <c r="W9" i="46"/>
  <c r="W8" i="46"/>
  <c r="W7" i="46"/>
  <c r="W6" i="46"/>
  <c r="W5" i="46"/>
  <c r="W4" i="46"/>
  <c r="W3" i="46"/>
  <c r="H25" i="44" l="1"/>
  <c r="H26" i="44"/>
  <c r="H21" i="44"/>
  <c r="H22" i="44"/>
  <c r="G21" i="44"/>
  <c r="G22" i="44"/>
  <c r="H18" i="44"/>
  <c r="H17" i="44"/>
  <c r="G17" i="44"/>
  <c r="G18" i="44"/>
  <c r="F18" i="44"/>
  <c r="H14" i="44"/>
  <c r="F17" i="44"/>
  <c r="G14" i="44"/>
  <c r="H13" i="44"/>
  <c r="F13" i="44"/>
  <c r="G13" i="44"/>
  <c r="E14" i="44"/>
  <c r="F14" i="44"/>
  <c r="E13" i="44"/>
  <c r="M38" i="56"/>
  <c r="M38" i="53"/>
  <c r="M38" i="51"/>
  <c r="M38" i="49"/>
  <c r="M38" i="54"/>
  <c r="M38" i="55"/>
  <c r="M38" i="52"/>
  <c r="M38" i="50"/>
  <c r="M38" i="44"/>
  <c r="K11" i="44"/>
  <c r="M41" i="56"/>
  <c r="M41" i="53"/>
  <c r="M41" i="51"/>
  <c r="M41" i="49"/>
  <c r="M41" i="54"/>
  <c r="M41" i="44"/>
  <c r="M41" i="52"/>
  <c r="M41" i="50"/>
  <c r="M41" i="55"/>
  <c r="L11" i="44"/>
  <c r="M32" i="53"/>
  <c r="M32" i="52"/>
  <c r="M32" i="56"/>
  <c r="I11" i="44"/>
  <c r="M32" i="55"/>
  <c r="M32" i="44"/>
  <c r="M32" i="51"/>
  <c r="M32" i="49"/>
  <c r="M32" i="50"/>
  <c r="M32" i="54"/>
  <c r="M35" i="44"/>
  <c r="J11" i="44"/>
  <c r="M35" i="56"/>
  <c r="M35" i="53"/>
  <c r="M35" i="51"/>
  <c r="M35" i="49"/>
  <c r="M35" i="54"/>
  <c r="M35" i="55"/>
  <c r="M35" i="52"/>
  <c r="M35" i="50"/>
  <c r="A40" i="44"/>
  <c r="A40" i="53"/>
  <c r="A40" i="49"/>
  <c r="A40" i="56"/>
  <c r="A40" i="52"/>
  <c r="A40" i="48"/>
  <c r="A40" i="55"/>
  <c r="A40" i="51"/>
  <c r="A40" i="54"/>
  <c r="A40" i="50"/>
  <c r="H11" i="44"/>
  <c r="H11" i="55"/>
  <c r="H11" i="51"/>
  <c r="H11" i="48"/>
  <c r="H11" i="54"/>
  <c r="H11" i="50"/>
  <c r="H11" i="53"/>
  <c r="H11" i="49"/>
  <c r="H11" i="56"/>
  <c r="H11" i="52"/>
  <c r="A16" i="44"/>
  <c r="A16" i="55"/>
  <c r="A16" i="51"/>
  <c r="A16" i="54"/>
  <c r="A16" i="50"/>
  <c r="A16" i="53"/>
  <c r="A16" i="49"/>
  <c r="A16" i="56"/>
  <c r="A16" i="52"/>
  <c r="A16" i="48"/>
  <c r="A32" i="44"/>
  <c r="A32" i="54"/>
  <c r="A32" i="50"/>
  <c r="A32" i="53"/>
  <c r="A32" i="49"/>
  <c r="A32" i="56"/>
  <c r="A32" i="52"/>
  <c r="A32" i="48"/>
  <c r="A32" i="55"/>
  <c r="A32" i="51"/>
  <c r="C16" i="44"/>
  <c r="C16" i="54"/>
  <c r="C16" i="50"/>
  <c r="C16" i="53"/>
  <c r="C16" i="49"/>
  <c r="C16" i="56"/>
  <c r="C16" i="52"/>
  <c r="C16" i="48"/>
  <c r="C16" i="55"/>
  <c r="C16" i="51"/>
  <c r="C32" i="44"/>
  <c r="C32" i="53"/>
  <c r="C32" i="49"/>
  <c r="C32" i="56"/>
  <c r="C32" i="52"/>
  <c r="C32" i="48"/>
  <c r="C32" i="55"/>
  <c r="C32" i="51"/>
  <c r="C32" i="54"/>
  <c r="C32" i="50"/>
  <c r="F11" i="44"/>
  <c r="F11" i="53"/>
  <c r="F11" i="49"/>
  <c r="F11" i="56"/>
  <c r="F11" i="52"/>
  <c r="F11" i="48"/>
  <c r="F11" i="55"/>
  <c r="F11" i="51"/>
  <c r="F11" i="54"/>
  <c r="F11" i="50"/>
  <c r="J11" i="53"/>
  <c r="J11" i="49"/>
  <c r="J11" i="56"/>
  <c r="J11" i="52"/>
  <c r="J11" i="48"/>
  <c r="J11" i="55"/>
  <c r="J11" i="51"/>
  <c r="J11" i="54"/>
  <c r="J11" i="50"/>
  <c r="C40" i="44"/>
  <c r="C40" i="56"/>
  <c r="C40" i="52"/>
  <c r="C40" i="48"/>
  <c r="C40" i="55"/>
  <c r="C40" i="51"/>
  <c r="C40" i="54"/>
  <c r="C40" i="50"/>
  <c r="C40" i="53"/>
  <c r="C40" i="49"/>
  <c r="A20" i="44"/>
  <c r="A20" i="55"/>
  <c r="A20" i="51"/>
  <c r="A20" i="48"/>
  <c r="A20" i="54"/>
  <c r="A20" i="50"/>
  <c r="A20" i="53"/>
  <c r="A20" i="49"/>
  <c r="A20" i="56"/>
  <c r="A20" i="52"/>
  <c r="A36" i="44"/>
  <c r="A36" i="53"/>
  <c r="A36" i="49"/>
  <c r="A36" i="56"/>
  <c r="A36" i="52"/>
  <c r="A36" i="48"/>
  <c r="A36" i="55"/>
  <c r="A36" i="51"/>
  <c r="A36" i="54"/>
  <c r="A36" i="50"/>
  <c r="C20" i="44"/>
  <c r="C20" i="54"/>
  <c r="C20" i="50"/>
  <c r="C20" i="48"/>
  <c r="C20" i="53"/>
  <c r="C20" i="49"/>
  <c r="C20" i="56"/>
  <c r="C20" i="52"/>
  <c r="C20" i="55"/>
  <c r="C20" i="51"/>
  <c r="C36" i="44"/>
  <c r="C36" i="56"/>
  <c r="C36" i="52"/>
  <c r="C36" i="48"/>
  <c r="C36" i="55"/>
  <c r="C36" i="51"/>
  <c r="C36" i="54"/>
  <c r="C36" i="50"/>
  <c r="C36" i="53"/>
  <c r="C36" i="49"/>
  <c r="G11" i="44"/>
  <c r="G11" i="56"/>
  <c r="G11" i="52"/>
  <c r="G11" i="48"/>
  <c r="G11" i="55"/>
  <c r="G11" i="51"/>
  <c r="G11" i="54"/>
  <c r="G11" i="50"/>
  <c r="G11" i="53"/>
  <c r="G11" i="49"/>
  <c r="K11" i="56"/>
  <c r="K11" i="52"/>
  <c r="K11" i="48"/>
  <c r="K11" i="55"/>
  <c r="K11" i="51"/>
  <c r="K11" i="54"/>
  <c r="K11" i="50"/>
  <c r="K11" i="53"/>
  <c r="K11" i="49"/>
  <c r="A24" i="44"/>
  <c r="A24" i="54"/>
  <c r="A24" i="50"/>
  <c r="A24" i="48"/>
  <c r="A24" i="53"/>
  <c r="A24" i="49"/>
  <c r="A24" i="56"/>
  <c r="A24" i="52"/>
  <c r="A24" i="55"/>
  <c r="A24" i="51"/>
  <c r="C24" i="44"/>
  <c r="C24" i="53"/>
  <c r="C24" i="49"/>
  <c r="C24" i="56"/>
  <c r="C24" i="52"/>
  <c r="C24" i="48"/>
  <c r="C24" i="55"/>
  <c r="C24" i="51"/>
  <c r="C24" i="54"/>
  <c r="C24" i="50"/>
  <c r="L11" i="55"/>
  <c r="L11" i="51"/>
  <c r="L11" i="54"/>
  <c r="L11" i="50"/>
  <c r="L11" i="48"/>
  <c r="L11" i="53"/>
  <c r="L11" i="49"/>
  <c r="L11" i="56"/>
  <c r="L11" i="52"/>
  <c r="A12" i="44"/>
  <c r="A12" i="54"/>
  <c r="A12" i="50"/>
  <c r="A12" i="48"/>
  <c r="A12" i="53"/>
  <c r="A12" i="49"/>
  <c r="A12" i="56"/>
  <c r="A12" i="52"/>
  <c r="A12" i="55"/>
  <c r="A12" i="51"/>
  <c r="A28" i="44"/>
  <c r="A28" i="56"/>
  <c r="A28" i="52"/>
  <c r="A28" i="48"/>
  <c r="A28" i="55"/>
  <c r="A28" i="51"/>
  <c r="A28" i="54"/>
  <c r="A28" i="50"/>
  <c r="A28" i="53"/>
  <c r="A28" i="49"/>
  <c r="C12" i="44"/>
  <c r="C12" i="53"/>
  <c r="C12" i="49"/>
  <c r="C12" i="56"/>
  <c r="C12" i="52"/>
  <c r="C12" i="48"/>
  <c r="C12" i="55"/>
  <c r="C12" i="51"/>
  <c r="C12" i="54"/>
  <c r="C12" i="50"/>
  <c r="C28" i="44"/>
  <c r="C28" i="55"/>
  <c r="C28" i="51"/>
  <c r="C28" i="54"/>
  <c r="C28" i="50"/>
  <c r="C28" i="53"/>
  <c r="C28" i="49"/>
  <c r="C28" i="56"/>
  <c r="C28" i="52"/>
  <c r="C28" i="48"/>
  <c r="E11" i="44"/>
  <c r="E11" i="54"/>
  <c r="E11" i="50"/>
  <c r="E11" i="48"/>
  <c r="E11" i="53"/>
  <c r="E11" i="49"/>
  <c r="E11" i="56"/>
  <c r="E11" i="52"/>
  <c r="E11" i="55"/>
  <c r="E11" i="51"/>
  <c r="I11" i="54"/>
  <c r="I11" i="50"/>
  <c r="I11" i="53"/>
  <c r="I11" i="49"/>
  <c r="I11" i="48"/>
  <c r="I11" i="56"/>
  <c r="I11" i="52"/>
  <c r="I11" i="55"/>
  <c r="I11" i="51"/>
  <c r="I27" i="44"/>
  <c r="H8" i="44"/>
  <c r="H15" i="44" l="1"/>
  <c r="G15" i="44"/>
  <c r="H27" i="44"/>
  <c r="H23" i="44"/>
  <c r="G19" i="44"/>
  <c r="F19" i="44"/>
  <c r="H19" i="44"/>
  <c r="E15" i="44" l="1"/>
  <c r="F15" i="44"/>
  <c r="G23" i="44"/>
  <c r="B8" i="47"/>
  <c r="E1" i="47"/>
  <c r="A21" i="47" s="1"/>
  <c r="L33" i="47"/>
  <c r="K65" i="47"/>
  <c r="H86" i="47"/>
  <c r="H71" i="47"/>
  <c r="D41" i="47"/>
  <c r="H46" i="47"/>
  <c r="G71" i="47"/>
  <c r="L70" i="47"/>
  <c r="E73" i="47"/>
  <c r="H61" i="47"/>
  <c r="G24" i="47"/>
  <c r="H70" i="47"/>
  <c r="F73" i="47"/>
  <c r="H93" i="47"/>
  <c r="G63" i="47"/>
  <c r="M61" i="47"/>
  <c r="F88" i="47"/>
  <c r="G64" i="47"/>
  <c r="M38" i="47"/>
  <c r="F22" i="47"/>
  <c r="H48" i="47"/>
  <c r="J58" i="47"/>
  <c r="F87" i="47"/>
  <c r="M96" i="47"/>
  <c r="E90" i="47"/>
  <c r="M70" i="47"/>
  <c r="H37" i="47"/>
  <c r="I51" i="47"/>
  <c r="E88" i="47"/>
  <c r="G81" i="47"/>
  <c r="H63" i="47"/>
  <c r="G48" i="47"/>
  <c r="E96" i="47"/>
  <c r="I59" i="47"/>
  <c r="K31" i="47"/>
  <c r="I100" i="47"/>
  <c r="J90" i="47"/>
  <c r="F56" i="47"/>
  <c r="L54" i="47"/>
  <c r="F41" i="47"/>
  <c r="G47" i="47"/>
  <c r="H95" i="47"/>
  <c r="E65" i="47"/>
  <c r="L29" i="47"/>
  <c r="F29" i="47"/>
  <c r="K29" i="47"/>
  <c r="I64" i="47"/>
  <c r="D39" i="47"/>
  <c r="E89" i="47"/>
  <c r="L31" i="47"/>
  <c r="D74" i="47"/>
  <c r="D84" i="47"/>
  <c r="K90" i="47"/>
  <c r="H29" i="47"/>
  <c r="E24" i="47"/>
  <c r="D35" i="47"/>
  <c r="L64" i="47"/>
  <c r="D65" i="47"/>
  <c r="F80" i="47"/>
  <c r="K56" i="47"/>
  <c r="K40" i="47"/>
  <c r="H53" i="47"/>
  <c r="F72" i="47"/>
  <c r="M45" i="47"/>
  <c r="L62" i="47"/>
  <c r="F64" i="47"/>
  <c r="I27" i="47"/>
  <c r="L30" i="47"/>
  <c r="J25" i="47"/>
  <c r="M39" i="47"/>
  <c r="M72" i="47"/>
  <c r="I58" i="47"/>
  <c r="J96" i="47"/>
  <c r="H72" i="47"/>
  <c r="D64" i="47"/>
  <c r="D53" i="47"/>
  <c r="D31" i="47"/>
  <c r="E47" i="47"/>
  <c r="D46" i="47"/>
  <c r="I45" i="47"/>
  <c r="F98" i="47"/>
  <c r="E27" i="47"/>
  <c r="J83" i="47"/>
  <c r="I97" i="47"/>
  <c r="K88" i="47"/>
  <c r="I92" i="47"/>
  <c r="F42" i="47"/>
  <c r="E81" i="47"/>
  <c r="M63" i="47"/>
  <c r="F54" i="47"/>
  <c r="F86" i="47"/>
  <c r="J71" i="47"/>
  <c r="D96" i="47"/>
  <c r="F53" i="47"/>
  <c r="I40" i="47"/>
  <c r="F85" i="47"/>
  <c r="I87" i="47"/>
  <c r="K61" i="47"/>
  <c r="K58" i="47"/>
  <c r="G79" i="47"/>
  <c r="E54" i="47"/>
  <c r="F61" i="47"/>
  <c r="E23" i="47"/>
  <c r="E85" i="47"/>
  <c r="G85" i="47"/>
  <c r="J22" i="47"/>
  <c r="D68" i="47"/>
  <c r="K34" i="47"/>
  <c r="I33" i="47"/>
  <c r="J30" i="47"/>
  <c r="G37" i="47"/>
  <c r="K30" i="47"/>
  <c r="L32" i="47"/>
  <c r="K96" i="47"/>
  <c r="K49" i="47"/>
  <c r="K33" i="47"/>
  <c r="F23" i="47"/>
  <c r="G39" i="47"/>
  <c r="D93" i="47"/>
  <c r="J63" i="47"/>
  <c r="E53" i="47"/>
  <c r="E71" i="47"/>
  <c r="D72" i="47"/>
  <c r="L87" i="47"/>
  <c r="H23" i="47"/>
  <c r="I41" i="47"/>
  <c r="E46" i="47"/>
  <c r="G33" i="47"/>
  <c r="I82" i="47"/>
  <c r="F95" i="47"/>
  <c r="F90" i="47"/>
  <c r="H39" i="47"/>
  <c r="H45" i="47"/>
  <c r="G70" i="47"/>
  <c r="J51" i="47"/>
  <c r="F26" i="47"/>
  <c r="E25" i="47"/>
  <c r="K21" i="47"/>
  <c r="H94" i="47"/>
  <c r="J34" i="47"/>
  <c r="G87" i="47"/>
  <c r="D50" i="47"/>
  <c r="H64" i="47"/>
  <c r="H24" i="47"/>
  <c r="E48" i="47"/>
  <c r="G25" i="47"/>
  <c r="M85" i="47"/>
  <c r="K82" i="47"/>
  <c r="J32" i="47"/>
  <c r="I81" i="47"/>
  <c r="E74" i="47"/>
  <c r="H69" i="47"/>
  <c r="L88" i="47"/>
  <c r="J43" i="47"/>
  <c r="K24" i="47"/>
  <c r="M93" i="47"/>
  <c r="J24" i="47"/>
  <c r="J27" i="47"/>
  <c r="I28" i="47"/>
  <c r="K39" i="47"/>
  <c r="M53" i="47"/>
  <c r="M79" i="47"/>
  <c r="D28" i="47"/>
  <c r="G89" i="47"/>
  <c r="H22" i="47"/>
  <c r="K72" i="47"/>
  <c r="M37" i="47"/>
  <c r="L63" i="47"/>
  <c r="G95" i="47"/>
  <c r="F39" i="47"/>
  <c r="J99" i="47"/>
  <c r="E86" i="47"/>
  <c r="F77" i="47"/>
  <c r="I55" i="47"/>
  <c r="D94" i="47"/>
  <c r="J79" i="47"/>
  <c r="M24" i="47"/>
  <c r="M48" i="47"/>
  <c r="E91" i="47"/>
  <c r="D51" i="47"/>
  <c r="F40" i="47"/>
  <c r="L86" i="47"/>
  <c r="K48" i="47"/>
  <c r="K57" i="47"/>
  <c r="K64" i="47"/>
  <c r="J56" i="47"/>
  <c r="G62" i="47"/>
  <c r="I98" i="47"/>
  <c r="H80" i="47"/>
  <c r="J42" i="47"/>
  <c r="H77" i="47"/>
  <c r="F47" i="47"/>
  <c r="K26" i="47"/>
  <c r="L41" i="47"/>
  <c r="E42" i="47"/>
  <c r="J66" i="47"/>
  <c r="D97" i="47"/>
  <c r="M95" i="47"/>
  <c r="J59" i="47"/>
  <c r="J64" i="47"/>
  <c r="I68" i="47"/>
  <c r="L93" i="47"/>
  <c r="F78" i="47"/>
  <c r="J37" i="47"/>
  <c r="J94" i="47"/>
  <c r="D69" i="47"/>
  <c r="K77" i="47"/>
  <c r="E31" i="47"/>
  <c r="D73" i="47"/>
  <c r="D36" i="47"/>
  <c r="E82" i="47"/>
  <c r="E51" i="47"/>
  <c r="F58" i="47"/>
  <c r="E49" i="47"/>
  <c r="I22" i="47"/>
  <c r="M88" i="47"/>
  <c r="G78" i="47"/>
  <c r="E70" i="47"/>
  <c r="D70" i="47"/>
  <c r="I47" i="47"/>
  <c r="J31" i="47"/>
  <c r="I46" i="47"/>
  <c r="J61" i="47"/>
  <c r="F38" i="47"/>
  <c r="J54" i="47"/>
  <c r="I71" i="47"/>
  <c r="L95" i="47"/>
  <c r="D44" i="47"/>
  <c r="K69" i="47"/>
  <c r="D29" i="47"/>
  <c r="D61" i="47"/>
  <c r="E39" i="47"/>
  <c r="F62" i="47"/>
  <c r="L56" i="47"/>
  <c r="I35" i="47"/>
  <c r="E80" i="47"/>
  <c r="F89" i="47"/>
  <c r="D37" i="47"/>
  <c r="I24" i="47"/>
  <c r="D30" i="47"/>
  <c r="H56" i="47"/>
  <c r="F55" i="47"/>
  <c r="E59" i="47"/>
  <c r="E99" i="47"/>
  <c r="D81" i="47"/>
  <c r="G56" i="47"/>
  <c r="J86" i="47"/>
  <c r="L61" i="47"/>
  <c r="D80" i="47"/>
  <c r="D48" i="47"/>
  <c r="L21" i="47"/>
  <c r="E83" i="47"/>
  <c r="L48" i="47"/>
  <c r="J88" i="47"/>
  <c r="I36" i="47"/>
  <c r="E34" i="47"/>
  <c r="E22" i="47"/>
  <c r="I25" i="47"/>
  <c r="J41" i="47"/>
  <c r="G97" i="47"/>
  <c r="M87" i="47"/>
  <c r="F32" i="47"/>
  <c r="M22" i="47"/>
  <c r="F71" i="47"/>
  <c r="I90" i="47"/>
  <c r="M94" i="47"/>
  <c r="H78" i="47"/>
  <c r="I89" i="47"/>
  <c r="G38" i="47"/>
  <c r="I60" i="47"/>
  <c r="J72" i="47"/>
  <c r="D91" i="47"/>
  <c r="L94" i="47"/>
  <c r="E64" i="47"/>
  <c r="E67" i="47"/>
  <c r="L39" i="47"/>
  <c r="I67" i="47"/>
  <c r="K74" i="47"/>
  <c r="I74" i="47"/>
  <c r="M29" i="47"/>
  <c r="M69" i="47"/>
  <c r="I66" i="47"/>
  <c r="J80" i="47"/>
  <c r="D98" i="47"/>
  <c r="F34" i="47"/>
  <c r="L96" i="47"/>
  <c r="M77" i="47"/>
  <c r="K66" i="47"/>
  <c r="D58" i="47"/>
  <c r="H85" i="47"/>
  <c r="G73" i="47"/>
  <c r="J75" i="47"/>
  <c r="D27" i="47"/>
  <c r="I52" i="47"/>
  <c r="F66" i="47"/>
  <c r="L23" i="47"/>
  <c r="D49" i="47"/>
  <c r="E87" i="47"/>
  <c r="J85" i="47"/>
  <c r="D62" i="47"/>
  <c r="K54" i="47"/>
  <c r="G61" i="47"/>
  <c r="E55" i="47"/>
  <c r="M71" i="47"/>
  <c r="D42" i="47"/>
  <c r="J23" i="47"/>
  <c r="J50" i="47"/>
  <c r="F25" i="47"/>
  <c r="M54" i="47"/>
  <c r="D22" i="47"/>
  <c r="E98" i="47"/>
  <c r="H32" i="47"/>
  <c r="L71" i="47"/>
  <c r="D92" i="47"/>
  <c r="I26" i="47"/>
  <c r="D99" i="47"/>
  <c r="K89" i="47"/>
  <c r="K22" i="47"/>
  <c r="F49" i="47"/>
  <c r="G54" i="47"/>
  <c r="L81" i="47"/>
  <c r="K79" i="47"/>
  <c r="L65" i="47"/>
  <c r="K23" i="47"/>
  <c r="J74" i="47"/>
  <c r="G32" i="47"/>
  <c r="F82" i="47"/>
  <c r="D66" i="47"/>
  <c r="I30" i="47"/>
  <c r="F21" i="47"/>
  <c r="E29" i="47"/>
  <c r="D47" i="47"/>
  <c r="E94" i="47"/>
  <c r="E95" i="47"/>
  <c r="I50" i="47"/>
  <c r="E58" i="47"/>
  <c r="K63" i="47"/>
  <c r="D100" i="47"/>
  <c r="E50" i="47"/>
  <c r="E26" i="47"/>
  <c r="K42" i="47"/>
  <c r="L79" i="47"/>
  <c r="E57" i="47"/>
  <c r="G45" i="47"/>
  <c r="F94" i="47"/>
  <c r="G69" i="47"/>
  <c r="K46" i="47"/>
  <c r="D54" i="47"/>
  <c r="L53" i="47"/>
  <c r="F70" i="47"/>
  <c r="J38" i="47"/>
  <c r="E30" i="47"/>
  <c r="H79" i="47"/>
  <c r="L55" i="47"/>
  <c r="F96" i="47"/>
  <c r="I63" i="47"/>
  <c r="L85" i="47"/>
  <c r="G77" i="47"/>
  <c r="I77" i="47"/>
  <c r="M21" i="47"/>
  <c r="K95" i="47"/>
  <c r="H87" i="47"/>
  <c r="D43" i="47"/>
  <c r="L78" i="47"/>
  <c r="D38" i="47"/>
  <c r="D85" i="47"/>
  <c r="I32" i="47"/>
  <c r="L80" i="47"/>
  <c r="F50" i="47"/>
  <c r="H55" i="47"/>
  <c r="J67" i="47"/>
  <c r="G88" i="47"/>
  <c r="L22" i="47"/>
  <c r="D78" i="47"/>
  <c r="D23" i="47"/>
  <c r="K70" i="47"/>
  <c r="D40" i="47"/>
  <c r="M23" i="47"/>
  <c r="G30" i="47"/>
  <c r="K55" i="47"/>
  <c r="M80" i="47"/>
  <c r="J48" i="47"/>
  <c r="J40" i="47"/>
  <c r="K80" i="47"/>
  <c r="L89" i="47"/>
  <c r="I43" i="47"/>
  <c r="G57" i="47"/>
  <c r="M86" i="47"/>
  <c r="L97" i="47"/>
  <c r="H88" i="47"/>
  <c r="D57" i="47"/>
  <c r="J53" i="47"/>
  <c r="L25" i="47"/>
  <c r="M31" i="47"/>
  <c r="K98" i="47"/>
  <c r="G55" i="47"/>
  <c r="J97" i="47"/>
  <c r="E56" i="47"/>
  <c r="G93" i="47"/>
  <c r="K45" i="47"/>
  <c r="I48" i="47"/>
  <c r="I37" i="47"/>
  <c r="J62" i="47"/>
  <c r="D67" i="47"/>
  <c r="D21" i="47"/>
  <c r="F63" i="47"/>
  <c r="K93" i="47"/>
  <c r="J45" i="47"/>
  <c r="I94" i="47"/>
  <c r="D77" i="47"/>
  <c r="I75" i="47"/>
  <c r="K81" i="47"/>
  <c r="L72" i="47"/>
  <c r="I73" i="47"/>
  <c r="E43" i="47"/>
  <c r="E33" i="47"/>
  <c r="G72" i="47"/>
  <c r="K71" i="47"/>
  <c r="M78" i="47"/>
  <c r="D82" i="47"/>
  <c r="I56" i="47"/>
  <c r="D55" i="47"/>
  <c r="J35" i="47"/>
  <c r="M32" i="47"/>
  <c r="K97" i="47"/>
  <c r="H54" i="47"/>
  <c r="F33" i="47"/>
  <c r="G46" i="47"/>
  <c r="D88" i="47"/>
  <c r="E93" i="47"/>
  <c r="I42" i="47"/>
  <c r="J26" i="47"/>
  <c r="J70" i="47"/>
  <c r="D32" i="47"/>
  <c r="D83" i="47"/>
  <c r="I78" i="47"/>
  <c r="M46" i="47"/>
  <c r="L45" i="47"/>
  <c r="K87" i="47"/>
  <c r="I80" i="47"/>
  <c r="G96" i="47"/>
  <c r="I57" i="47"/>
  <c r="D63" i="47"/>
  <c r="D56" i="47"/>
  <c r="I76" i="47"/>
  <c r="E41" i="47"/>
  <c r="J69" i="47"/>
  <c r="I53" i="47"/>
  <c r="J21" i="47"/>
  <c r="K86" i="47"/>
  <c r="D25" i="47"/>
  <c r="J93" i="47"/>
  <c r="H96" i="47"/>
  <c r="E32" i="47"/>
  <c r="F37" i="47"/>
  <c r="J78" i="47"/>
  <c r="I38" i="47"/>
  <c r="I83" i="47"/>
  <c r="K94" i="47"/>
  <c r="G21" i="47"/>
  <c r="D59" i="47"/>
  <c r="J81" i="47"/>
  <c r="E77" i="47"/>
  <c r="I29" i="47"/>
  <c r="I93" i="47"/>
  <c r="E21" i="47"/>
  <c r="H40" i="47"/>
  <c r="D86" i="47"/>
  <c r="L37" i="47"/>
  <c r="G53" i="47"/>
  <c r="I72" i="47"/>
  <c r="J91" i="47"/>
  <c r="I23" i="47"/>
  <c r="E45" i="47"/>
  <c r="F93" i="47"/>
  <c r="I70" i="47"/>
  <c r="E38" i="47"/>
  <c r="H31" i="47"/>
  <c r="J55" i="47"/>
  <c r="M62" i="47"/>
  <c r="K50" i="47"/>
  <c r="K38" i="47"/>
  <c r="E72" i="47"/>
  <c r="M56" i="47"/>
  <c r="J33" i="47"/>
  <c r="I44" i="47"/>
  <c r="G49" i="47"/>
  <c r="D60" i="47"/>
  <c r="J89" i="47"/>
  <c r="J65" i="47"/>
  <c r="F48" i="47"/>
  <c r="G80" i="47"/>
  <c r="D24" i="47"/>
  <c r="J77" i="47"/>
  <c r="D52" i="47"/>
  <c r="I34" i="47"/>
  <c r="D26" i="47"/>
  <c r="H62" i="47"/>
  <c r="G31" i="47"/>
  <c r="G94" i="47"/>
  <c r="G86" i="47"/>
  <c r="I95" i="47"/>
  <c r="G65" i="47"/>
  <c r="J73" i="47"/>
  <c r="I91" i="47"/>
  <c r="D79" i="47"/>
  <c r="J95" i="47"/>
  <c r="I99" i="47"/>
  <c r="E37" i="47"/>
  <c r="L46" i="47"/>
  <c r="I65" i="47"/>
  <c r="G41" i="47"/>
  <c r="K62" i="47"/>
  <c r="K41" i="47"/>
  <c r="J87" i="47"/>
  <c r="J46" i="47"/>
  <c r="I85" i="47"/>
  <c r="D89" i="47"/>
  <c r="L49" i="47"/>
  <c r="E61" i="47"/>
  <c r="I31" i="47"/>
  <c r="E62" i="47"/>
  <c r="I21" i="47"/>
  <c r="H47" i="47"/>
  <c r="E69" i="47"/>
  <c r="E40" i="47"/>
  <c r="M30" i="47"/>
  <c r="I69" i="47"/>
  <c r="D87" i="47"/>
  <c r="I86" i="47"/>
  <c r="J98" i="47"/>
  <c r="D71" i="47"/>
  <c r="E97" i="47"/>
  <c r="H21" i="47"/>
  <c r="F45" i="47"/>
  <c r="D95" i="47"/>
  <c r="I61" i="47"/>
  <c r="F57" i="47"/>
  <c r="I84" i="47"/>
  <c r="E35" i="47"/>
  <c r="E75" i="47"/>
  <c r="K47" i="47"/>
  <c r="K73" i="47"/>
  <c r="G23" i="47"/>
  <c r="J82" i="47"/>
  <c r="M47" i="47"/>
  <c r="H30" i="47"/>
  <c r="H38" i="47"/>
  <c r="J47" i="47"/>
  <c r="D90" i="47"/>
  <c r="F79" i="47"/>
  <c r="J57" i="47"/>
  <c r="F24" i="47"/>
  <c r="L40" i="47"/>
  <c r="L47" i="47"/>
  <c r="L57" i="47"/>
  <c r="J29" i="47"/>
  <c r="D33" i="47"/>
  <c r="E66" i="47"/>
  <c r="K53" i="47"/>
  <c r="F69" i="47"/>
  <c r="D45" i="47"/>
  <c r="I54" i="47"/>
  <c r="D34" i="47"/>
  <c r="D75" i="47"/>
  <c r="I49" i="47"/>
  <c r="F31" i="47"/>
  <c r="F30" i="47"/>
  <c r="M40" i="47"/>
  <c r="K37" i="47"/>
  <c r="K85" i="47"/>
  <c r="I62" i="47"/>
  <c r="J49" i="47"/>
  <c r="L24" i="47"/>
  <c r="E63" i="47"/>
  <c r="I79" i="47"/>
  <c r="F65" i="47"/>
  <c r="K78" i="47"/>
  <c r="L69" i="47"/>
  <c r="F74" i="47"/>
  <c r="F46" i="47"/>
  <c r="G29" i="47"/>
  <c r="K25" i="47"/>
  <c r="G22" i="47"/>
  <c r="L38" i="47"/>
  <c r="E79" i="47"/>
  <c r="D76" i="47"/>
  <c r="K32" i="47"/>
  <c r="M64" i="47"/>
  <c r="I96" i="47"/>
  <c r="F81" i="47"/>
  <c r="J39" i="47"/>
  <c r="M55" i="47"/>
  <c r="L77" i="47"/>
  <c r="L73" i="47"/>
  <c r="F97" i="47"/>
  <c r="E78" i="47"/>
  <c r="I88" i="47"/>
  <c r="G40" i="47"/>
  <c r="I39" i="47"/>
  <c r="A102" i="47" l="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187" i="47" s="1"/>
  <c r="A188" i="47" s="1"/>
  <c r="A189" i="47" s="1"/>
  <c r="A190"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20" i="47"/>
  <c r="A216" i="47"/>
  <c r="A212" i="47"/>
  <c r="A219" i="47"/>
  <c r="A215" i="47"/>
  <c r="A211" i="47"/>
  <c r="A218" i="47"/>
  <c r="A214" i="47"/>
  <c r="A217" i="47"/>
  <c r="A213" i="47"/>
  <c r="A24" i="47"/>
  <c r="A28" i="47"/>
  <c r="A32" i="47"/>
  <c r="A36" i="47"/>
  <c r="A40" i="47"/>
  <c r="A44" i="47"/>
  <c r="A48" i="47"/>
  <c r="A52" i="47"/>
  <c r="A56" i="47"/>
  <c r="A60" i="47"/>
  <c r="A64" i="47"/>
  <c r="A68" i="47"/>
  <c r="A72" i="47"/>
  <c r="A76" i="47"/>
  <c r="A80" i="47"/>
  <c r="A84" i="47"/>
  <c r="A88" i="47"/>
  <c r="A92" i="47"/>
  <c r="A96" i="47"/>
  <c r="A100" i="47"/>
  <c r="A25" i="47"/>
  <c r="A29" i="47"/>
  <c r="A33" i="47"/>
  <c r="A37" i="47"/>
  <c r="A41" i="47"/>
  <c r="A45" i="47"/>
  <c r="A49" i="47"/>
  <c r="A53" i="47"/>
  <c r="A57" i="47"/>
  <c r="A61" i="47"/>
  <c r="A65" i="47"/>
  <c r="A69" i="47"/>
  <c r="A73" i="47"/>
  <c r="A77" i="47"/>
  <c r="A81" i="47"/>
  <c r="A85" i="47"/>
  <c r="A89" i="47"/>
  <c r="A93" i="47"/>
  <c r="A97" i="47"/>
  <c r="A26" i="47"/>
  <c r="A30" i="47"/>
  <c r="A34" i="47"/>
  <c r="A38" i="47"/>
  <c r="A42" i="47"/>
  <c r="A46" i="47"/>
  <c r="A50" i="47"/>
  <c r="A54" i="47"/>
  <c r="A58" i="47"/>
  <c r="A62" i="47"/>
  <c r="A66" i="47"/>
  <c r="A70" i="47"/>
  <c r="A74" i="47"/>
  <c r="A78" i="47"/>
  <c r="A35" i="47"/>
  <c r="A51" i="47"/>
  <c r="A67" i="47"/>
  <c r="A82" i="47"/>
  <c r="A90" i="47"/>
  <c r="A98" i="47"/>
  <c r="A23" i="47"/>
  <c r="A39" i="47"/>
  <c r="A55" i="47"/>
  <c r="A71" i="47"/>
  <c r="A83" i="47"/>
  <c r="A91" i="47"/>
  <c r="A99" i="47"/>
  <c r="A27" i="47"/>
  <c r="A43" i="47"/>
  <c r="A59" i="47"/>
  <c r="A75" i="47"/>
  <c r="A86" i="47"/>
  <c r="A94" i="47"/>
  <c r="A31" i="47"/>
  <c r="A47" i="47"/>
  <c r="A63" i="47"/>
  <c r="A79" i="47"/>
  <c r="A87" i="47"/>
  <c r="A95" i="47"/>
  <c r="B10" i="47"/>
  <c r="A22" i="47" l="1"/>
</calcChain>
</file>

<file path=xl/sharedStrings.xml><?xml version="1.0" encoding="utf-8"?>
<sst xmlns="http://schemas.openxmlformats.org/spreadsheetml/2006/main" count="9862" uniqueCount="240">
  <si>
    <t xml:space="preserve">County: </t>
  </si>
  <si>
    <t xml:space="preserve">Version #: </t>
  </si>
  <si>
    <t>Alachua</t>
  </si>
  <si>
    <t>Baker</t>
  </si>
  <si>
    <t>Bay</t>
  </si>
  <si>
    <t>Bradford</t>
  </si>
  <si>
    <t>Brevard</t>
  </si>
  <si>
    <t>Broward</t>
  </si>
  <si>
    <t>Calhoun</t>
  </si>
  <si>
    <t>Charlotte</t>
  </si>
  <si>
    <t>Citrus</t>
  </si>
  <si>
    <t>Clay</t>
  </si>
  <si>
    <t>Collier</t>
  </si>
  <si>
    <t>Columbia</t>
  </si>
  <si>
    <t>Dade</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</si>
  <si>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</si>
  <si>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</si>
  <si>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</si>
  <si>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</si>
  <si>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</si>
  <si>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</si>
  <si>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</si>
  <si>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</si>
  <si>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</si>
  <si>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</si>
  <si>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</si>
  <si>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</si>
  <si>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</si>
  <si>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</si>
  <si>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</si>
  <si>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</si>
  <si>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</si>
  <si>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</si>
  <si>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</si>
  <si>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</si>
  <si>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</si>
  <si>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</si>
  <si>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</si>
  <si>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</si>
  <si>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</si>
  <si>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</si>
  <si>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</si>
  <si>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</si>
  <si>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</si>
  <si>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</si>
  <si>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</si>
  <si>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</si>
  <si>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</si>
  <si>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</si>
  <si>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</si>
  <si>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</si>
  <si>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</si>
  <si>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</si>
  <si>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</si>
  <si>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</si>
  <si>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</si>
  <si>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</si>
  <si>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</si>
  <si>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</si>
  <si>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</si>
  <si>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</si>
  <si>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</si>
  <si>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</si>
  <si>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</si>
  <si>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</si>
  <si>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</si>
  <si>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</si>
  <si>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</si>
  <si>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</si>
  <si>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</si>
  <si>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</si>
  <si>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OrganizationID</t>
  </si>
  <si>
    <t>OrganizationTypeID</t>
  </si>
  <si>
    <t>OrgName1</t>
  </si>
  <si>
    <t>OrgName2</t>
  </si>
  <si>
    <t>OrgName3</t>
  </si>
  <si>
    <t>Miami-Dade</t>
  </si>
  <si>
    <t>Saint Johns</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</si>
  <si>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</si>
  <si>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</si>
  <si>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</si>
  <si>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</si>
  <si>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</si>
  <si>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</si>
  <si>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</si>
  <si>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</si>
  <si>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</si>
  <si>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</si>
  <si>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</si>
  <si>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</si>
  <si>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</si>
  <si>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</si>
  <si>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</si>
  <si>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</si>
  <si>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</si>
  <si>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</si>
  <si>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</si>
  <si>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</si>
  <si>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</si>
  <si>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</si>
  <si>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</si>
  <si>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</si>
  <si>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</si>
  <si>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</si>
  <si>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</si>
  <si>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</si>
  <si>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</si>
  <si>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</si>
  <si>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</si>
  <si>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</si>
  <si>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</si>
  <si>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Delinquency</t>
  </si>
  <si>
    <t>NumDataTables:</t>
  </si>
  <si>
    <t>DataTable</t>
  </si>
  <si>
    <t>StartCol</t>
  </si>
  <si>
    <t>EndCol</t>
  </si>
  <si>
    <t>StartRow</t>
  </si>
  <si>
    <t>EndRow</t>
  </si>
  <si>
    <t>A</t>
  </si>
  <si>
    <t>DataTableNum</t>
  </si>
  <si>
    <t>D_A_ReportNotes</t>
  </si>
  <si>
    <t>G</t>
  </si>
  <si>
    <t>RptNotesType</t>
  </si>
  <si>
    <t>RptNotesSubType</t>
  </si>
  <si>
    <t>ReportNote</t>
  </si>
  <si>
    <t>CCOCStaffNotes</t>
  </si>
  <si>
    <t>Clerk of Court Quarterly Collections Performance Measure Report</t>
  </si>
  <si>
    <t>Fiscal Year Base</t>
  </si>
  <si>
    <t>CGE List</t>
  </si>
  <si>
    <t>RPE Date</t>
  </si>
  <si>
    <t>Report Qtr</t>
  </si>
  <si>
    <t>Qtr 1: Oct - Dec</t>
  </si>
  <si>
    <t>Qtr 2: Jan - Mar</t>
  </si>
  <si>
    <t>Qtr 3: Apr - Jun</t>
  </si>
  <si>
    <t>Qtr 4: Jul - Sep</t>
  </si>
  <si>
    <t xml:space="preserve">Report for the Quarter of: </t>
  </si>
  <si>
    <t>Court/Case Type:</t>
  </si>
  <si>
    <t>Performance Measure Standard:</t>
  </si>
  <si>
    <t>Court Types</t>
  </si>
  <si>
    <t>Standard</t>
  </si>
  <si>
    <t>Drug Trafficking</t>
  </si>
  <si>
    <t>Action Plan</t>
  </si>
  <si>
    <t>Reason Code</t>
  </si>
  <si>
    <t>Actions to Improve</t>
  </si>
  <si>
    <t>Quarterly ReportingDates</t>
  </si>
  <si>
    <t>Qtr 1</t>
  </si>
  <si>
    <t>Qtr 2</t>
  </si>
  <si>
    <t>Qtr 3</t>
  </si>
  <si>
    <t>Qtr 4</t>
  </si>
  <si>
    <t>Qtr 5</t>
  </si>
  <si>
    <t>C = Cumulative Collections</t>
  </si>
  <si>
    <t>A = Amount Assessed</t>
  </si>
  <si>
    <t>CR = Collection Rate</t>
  </si>
  <si>
    <t>Additional Notes Related to Collection Issues</t>
  </si>
  <si>
    <t>Reason Codes</t>
  </si>
  <si>
    <t>Internal</t>
  </si>
  <si>
    <t>External</t>
  </si>
  <si>
    <t>Internal:</t>
  </si>
  <si>
    <t>External:</t>
  </si>
  <si>
    <r>
      <t xml:space="preserve"> Must </t>
    </r>
    <r>
      <rPr>
        <sz val="11"/>
        <color rgb="FFFF0000"/>
        <rFont val="Franklin Gothic Book"/>
        <family val="2"/>
        <scheme val="minor"/>
      </rPr>
      <t>clarify reason</t>
    </r>
    <r>
      <rPr>
        <sz val="11"/>
        <rFont val="Franklin Gothic Book"/>
        <family val="2"/>
        <scheme val="minor"/>
      </rPr>
      <t xml:space="preserve"> AND give an </t>
    </r>
    <r>
      <rPr>
        <sz val="11"/>
        <color rgb="FFFF0000"/>
        <rFont val="Franklin Gothic Book"/>
        <family val="2"/>
        <scheme val="minor"/>
      </rPr>
      <t>expected time the</t>
    </r>
    <r>
      <rPr>
        <sz val="11"/>
        <rFont val="Franklin Gothic Book"/>
        <family val="2"/>
        <scheme val="minor"/>
      </rPr>
      <t xml:space="preserve"> internal reason will be resolved</t>
    </r>
  </si>
  <si>
    <r>
      <t xml:space="preserve"> Give a </t>
    </r>
    <r>
      <rPr>
        <sz val="11"/>
        <color rgb="FFFF0000"/>
        <rFont val="Franklin Gothic Book"/>
        <family val="2"/>
        <scheme val="minor"/>
      </rPr>
      <t>detailed explanation of the External reason causing</t>
    </r>
    <r>
      <rPr>
        <sz val="11"/>
        <rFont val="Franklin Gothic Book"/>
        <family val="2"/>
        <scheme val="minor"/>
      </rPr>
      <t xml:space="preserve"> the measure not to be met </t>
    </r>
  </si>
  <si>
    <r>
      <t xml:space="preserve"> Reason Code / </t>
    </r>
    <r>
      <rPr>
        <sz val="11"/>
        <color rgb="FFFF0000"/>
        <rFont val="Franklin Gothic Demi"/>
        <family val="2"/>
        <scheme val="major"/>
      </rPr>
      <t>Selection</t>
    </r>
    <r>
      <rPr>
        <sz val="11"/>
        <rFont val="Franklin Gothic Demi"/>
        <family val="2"/>
        <scheme val="major"/>
      </rPr>
      <t xml:space="preserve"> AND Action to Improve / </t>
    </r>
    <r>
      <rPr>
        <sz val="11"/>
        <color rgb="FFFF0000"/>
        <rFont val="Franklin Gothic Demi"/>
        <family val="2"/>
        <scheme val="major"/>
      </rPr>
      <t>Description</t>
    </r>
    <r>
      <rPr>
        <sz val="11"/>
        <rFont val="Franklin Gothic Demi"/>
        <family val="2"/>
        <scheme val="major"/>
      </rPr>
      <t xml:space="preserve"> is REQUIRED if Measure(s) Not Met</t>
    </r>
  </si>
  <si>
    <t>Business Rules</t>
  </si>
  <si>
    <t>NOTES:</t>
  </si>
  <si>
    <t>The following conditions will alert when performance standards are not met and/or established business rules within the control group are not followed.</t>
  </si>
  <si>
    <t>3.) To see Circuit Criminal Collection Rate LESS Drug Trafficking assessment and collection dollars, please see Drug Trafficking tab/page.</t>
  </si>
  <si>
    <r>
      <rPr>
        <b/>
        <u/>
        <sz val="11"/>
        <rFont val="Franklin Gothic Book"/>
        <family val="2"/>
        <scheme val="minor"/>
      </rPr>
      <t>Adjustments to Assessments</t>
    </r>
    <r>
      <rPr>
        <b/>
        <sz val="11"/>
        <rFont val="Franklin Gothic Book"/>
        <family val="2"/>
        <scheme val="minor"/>
      </rPr>
      <t>:</t>
    </r>
    <r>
      <rPr>
        <sz val="11"/>
        <rFont val="Franklin Gothic Book"/>
        <family val="2"/>
        <scheme val="minor"/>
      </rPr>
      <t xml:space="preserve"> The amount assessed in a given assessment control group should be adjusted in the reporting period when assessments are later adjusted by the Court or other provisions of law.  </t>
    </r>
  </si>
  <si>
    <r>
      <t>a.) Cumulative Collection amount has</t>
    </r>
    <r>
      <rPr>
        <b/>
        <sz val="11"/>
        <rFont val="Franklin Gothic Book"/>
        <family val="2"/>
        <scheme val="minor"/>
      </rPr>
      <t xml:space="preserve"> Decreased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</si>
  <si>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has </t>
    </r>
    <r>
      <rPr>
        <b/>
        <sz val="11"/>
        <rFont val="Franklin Gothic Book"/>
        <family val="2"/>
        <scheme val="minor"/>
      </rPr>
      <t>Increased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</si>
  <si>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rPr>
        <b/>
        <sz val="11"/>
        <rFont val="Franklin Gothic Book"/>
        <family val="2"/>
        <scheme val="minor"/>
      </rPr>
      <t>Purpose of Report:</t>
    </r>
    <r>
      <rPr>
        <sz val="11"/>
        <rFont val="Franklin Gothic Book"/>
        <family val="2"/>
        <scheme val="minor"/>
      </rPr>
      <t xml:space="preserve">  The CCOC Collection Rate Performance Measure report tracks dollars in the quarter they are assessed and then how well those
assessed dollars have been collected over the next five quarters.</t>
    </r>
    <r>
      <rPr>
        <b/>
        <sz val="11"/>
        <rFont val="Franklin Gothic Book"/>
        <family val="2"/>
        <scheme val="minor"/>
      </rPr>
      <t xml:space="preserve">  </t>
    </r>
  </si>
  <si>
    <t>CountyName</t>
  </si>
  <si>
    <t>CourtType</t>
  </si>
  <si>
    <t>ControlGrpInfo</t>
  </si>
  <si>
    <t>Assessment1stQ</t>
  </si>
  <si>
    <t>Assessment2ndQ</t>
  </si>
  <si>
    <t>Assessment3rdQ</t>
  </si>
  <si>
    <t>Assessment4thQ</t>
  </si>
  <si>
    <t>5 Quarter Assessment</t>
  </si>
  <si>
    <t>Collection1stQ</t>
  </si>
  <si>
    <t>Collection2ndQ</t>
  </si>
  <si>
    <t>Collection3rdQ</t>
  </si>
  <si>
    <t>Collection4thQ</t>
  </si>
  <si>
    <t>5 Quarter Collection</t>
  </si>
  <si>
    <t>Adjusted Circuit Criminal Rate</t>
  </si>
  <si>
    <t>This is the percent of collections that would have been done for Circuit Criminal if Drug Cases had not been included: Circuit Criminal - Drug Trafficking</t>
  </si>
  <si>
    <t>Collection</t>
  </si>
  <si>
    <t>Assessment</t>
  </si>
  <si>
    <t>Adj. Circuit Criminal Rate</t>
  </si>
  <si>
    <t>CP1.18.1.0</t>
  </si>
  <si>
    <t>Collections</t>
  </si>
  <si>
    <t>D_A_Collections</t>
  </si>
  <si>
    <t>CGE CQ1-19</t>
  </si>
  <si>
    <t>CGE CQ2-19</t>
  </si>
  <si>
    <t>CGE CQ3-19</t>
  </si>
  <si>
    <t>CGE CQ4-19</t>
  </si>
  <si>
    <t>APType</t>
  </si>
  <si>
    <t>APSubType</t>
  </si>
  <si>
    <t>PMCourtType</t>
  </si>
  <si>
    <t>APCourtSubType</t>
  </si>
  <si>
    <t>Action To Improve</t>
  </si>
  <si>
    <t>Required</t>
  </si>
  <si>
    <t>Assessment5thQ</t>
  </si>
  <si>
    <t>Collection5thQ</t>
  </si>
  <si>
    <t>PerformanceCollection5thQ</t>
  </si>
  <si>
    <t>Collections Q1</t>
  </si>
  <si>
    <t>Collections Q2</t>
  </si>
  <si>
    <t>Collections Q3</t>
  </si>
  <si>
    <t>Collections Q4</t>
  </si>
  <si>
    <t>O</t>
  </si>
  <si>
    <t>S</t>
  </si>
  <si>
    <t>D_A_ActionPlan</t>
  </si>
  <si>
    <r>
      <t xml:space="preserve">1.) </t>
    </r>
    <r>
      <rPr>
        <b/>
        <sz val="11"/>
        <rFont val="Franklin Gothic Book"/>
        <family val="2"/>
        <scheme val="minor"/>
      </rPr>
      <t>Action Plan:</t>
    </r>
    <r>
      <rPr>
        <sz val="11"/>
        <rFont val="Franklin Gothic Book"/>
        <family val="2"/>
        <scheme val="minor"/>
      </rPr>
      <t xml:space="preserve"> If the Collection Rate in quarter five </t>
    </r>
    <r>
      <rPr>
        <b/>
        <sz val="11"/>
        <rFont val="Franklin Gothic Book"/>
        <family val="2"/>
        <scheme val="minor"/>
      </rPr>
      <t>(Qtr 5)</t>
    </r>
    <r>
      <rPr>
        <sz val="11"/>
        <rFont val="Franklin Gothic Book"/>
        <family val="2"/>
        <scheme val="minor"/>
      </rPr>
      <t xml:space="preserve"> is below Standard (</t>
    </r>
    <r>
      <rPr>
        <sz val="11"/>
        <color rgb="FFFF0000"/>
        <rFont val="Franklin Gothic Book"/>
        <family val="2"/>
        <scheme val="minor"/>
      </rPr>
      <t>red numbers</t>
    </r>
    <r>
      <rPr>
        <sz val="11"/>
        <rFont val="Franklin Gothic Book"/>
        <family val="2"/>
        <scheme val="minor"/>
      </rPr>
      <t xml:space="preserve"> on rose background), select a "Reason Code" and write a brief statement in "Actions to Improve" in the green area ONLY. </t>
    </r>
  </si>
  <si>
    <r>
      <t xml:space="preserve">2.) </t>
    </r>
    <r>
      <rPr>
        <b/>
        <sz val="11"/>
        <rFont val="Franklin Gothic Book"/>
        <family val="2"/>
        <scheme val="minor"/>
      </rPr>
      <t>Additional Notes Related to Collection Issues:</t>
    </r>
    <r>
      <rPr>
        <sz val="11"/>
        <rFont val="Franklin Gothic Book"/>
        <family val="2"/>
        <scheme val="minor"/>
      </rPr>
      <t xml:space="preserve"> Include a brief explaination when either of the following conditions occur that are not consistant with the Collection Report Business Rules. </t>
    </r>
  </si>
  <si>
    <r>
      <t>a.) Cumulative Collection amount should</t>
    </r>
    <r>
      <rPr>
        <b/>
        <sz val="11"/>
        <rFont val="Franklin Gothic Book"/>
        <family val="2"/>
        <scheme val="minor"/>
      </rPr>
      <t xml:space="preserve"> NOT Decrease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</si>
  <si>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should </t>
    </r>
    <r>
      <rPr>
        <b/>
        <sz val="11"/>
        <rFont val="Franklin Gothic Book"/>
        <family val="2"/>
        <scheme val="minor"/>
      </rPr>
      <t>NOT Increase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</si>
  <si>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1.) </t>
    </r>
    <r>
      <rPr>
        <b/>
        <sz val="11"/>
        <rFont val="Franklin Gothic Book"/>
        <family val="2"/>
        <scheme val="minor"/>
      </rPr>
      <t>Action Plan:</t>
    </r>
    <r>
      <rPr>
        <sz val="11"/>
        <rFont val="Franklin Gothic Book"/>
        <family val="2"/>
        <scheme val="minor"/>
      </rPr>
      <t xml:space="preserve"> </t>
    </r>
  </si>
  <si>
    <t>No Corrective Action Plan reporting is needed as this is a subset of the Circuit Criminal performance measure.</t>
  </si>
  <si>
    <r>
      <t xml:space="preserve">2.) </t>
    </r>
    <r>
      <rPr>
        <b/>
        <sz val="11"/>
        <rFont val="Franklin Gothic Book"/>
        <family val="2"/>
        <scheme val="minor"/>
      </rPr>
      <t>Additional Notes Related to Collection Issues:</t>
    </r>
    <r>
      <rPr>
        <sz val="11"/>
        <rFont val="Franklin Gothic Book"/>
        <family val="2"/>
        <scheme val="minor"/>
      </rPr>
      <t xml:space="preserve"> No additional information is needed as this is a subset of the Circuit Criminal performance measure.  However, reported data should  </t>
    </r>
  </si>
  <si>
    <t xml:space="preserve"> still be consistant with the Collection Report Business Rules as follows for the Cumulative Collection and Amount Assessed-Adjusted.</t>
  </si>
  <si>
    <t>Note: The drug trafficking Collection and Amount Assessed values are subsets of the entire dollars posted in the Circuit Criminal Court Division tab. This breakout is in response to the CCOC Executive Council direction to isolate criminal drug trafficking case collection rates and mirrors the efforts within the FCCC Collections and Assessment report.</t>
  </si>
  <si>
    <t>County Fiscal Year 2018-2019</t>
  </si>
  <si>
    <t xml:space="preserve">Quarter: </t>
  </si>
  <si>
    <t>DeSoto</t>
  </si>
  <si>
    <t>Desoto</t>
  </si>
  <si>
    <t>MANATEE</t>
  </si>
  <si>
    <t>St Johns</t>
  </si>
  <si>
    <t>St Lucie</t>
  </si>
  <si>
    <t>CGE CQ1-20</t>
  </si>
  <si>
    <t>CGE CQ2-20</t>
  </si>
  <si>
    <t>CGE CQ3-20</t>
  </si>
  <si>
    <t>CGE CQ4-20</t>
  </si>
  <si>
    <t>CCOC Form Version 2
Revised 1/18/19</t>
  </si>
  <si>
    <t>Michelle Levar</t>
  </si>
  <si>
    <t>michell.levar@brevardclerk.us</t>
  </si>
  <si>
    <t>The standard was not met dispite pursuit of all collection efforts within control of the clerk.</t>
  </si>
  <si>
    <t>Ajustments to to assesments</t>
  </si>
  <si>
    <t xml:space="preserve">Adjustments made to assesments/increase volumn of payment plan in Circuit Civil </t>
  </si>
  <si>
    <t xml:space="preserve">The standard was not met dispite pursuit of all collection efforts within control of the Clerk. </t>
  </si>
  <si>
    <t xml:space="preserve">We are working with a new Collection Agency hoping to see a difference within the next Qtr. </t>
  </si>
  <si>
    <t>Standard was 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</si>
</sst>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s>
  <fonts count="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b/>
      <sz val="12"/>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2"/>
      <name val="Franklin Gothic Demi"/>
      <family val="2"/>
      <scheme val="major"/>
    </font>
    <font>
      <sz val="11"/>
      <color theme="1"/>
      <name val="Franklin Gothic Demi"/>
      <family val="2"/>
      <scheme val="major"/>
    </font>
    <font>
      <sz val="11"/>
      <color theme="0"/>
      <name val="Franklin Gothic Demi"/>
      <family val="2"/>
      <scheme val="major"/>
    </font>
    <font>
      <sz val="10"/>
      <name val="Arial"/>
      <family val="2"/>
    </font>
    <font>
      <sz val="11"/>
      <color rgb="FFFF0000"/>
      <name val="Franklin Gothic Book"/>
      <family val="2"/>
      <scheme val="minor"/>
    </font>
    <font>
      <b/>
      <sz val="11"/>
      <color rgb="FFFF0000"/>
      <name val="Franklin Gothic Book"/>
      <family val="2"/>
      <scheme val="minor"/>
    </font>
    <font>
      <sz val="11"/>
      <color rgb="FFFF0000"/>
      <name val="Franklin Gothic Demi"/>
      <family val="2"/>
      <scheme val="major"/>
    </font>
    <font>
      <b/>
      <sz val="14"/>
      <name val="Franklin Gothic Book"/>
      <family val="2"/>
      <scheme val="minor"/>
    </font>
    <font>
      <b/>
      <sz val="12"/>
      <color rgb="FFFF0000"/>
      <name val="Franklin Gothic Book"/>
      <family val="2"/>
      <scheme val="minor"/>
    </font>
    <font>
      <sz val="16"/>
      <color theme="4"/>
      <name val="Franklin Gothic Demi"/>
      <family val="2"/>
      <scheme val="major"/>
    </font>
    <font>
      <sz val="12"/>
      <color theme="0"/>
      <name val="Franklin Gothic Demi"/>
      <family val="2"/>
      <scheme val="major"/>
    </font>
    <font>
      <sz val="11"/>
      <color rgb="FF222222"/>
      <name val="Courier New"/>
      <family val="3"/>
    </font>
    <font>
      <sz val="10"/>
      <name val="Franklin Gothic Book"/>
      <family val="2"/>
    </font>
    <font>
      <sz val="11"/>
      <name val="Franklin Gothic Demi"/>
      <family val="2"/>
    </font>
    <font>
      <sz val="14"/>
      <color rgb="FFAC162C"/>
      <name val="Franklin Gothic Demi"/>
      <family val="2"/>
      <scheme val="major"/>
    </font>
    <font>
      <sz val="10"/>
      <color theme="4"/>
      <name val="Franklin Gothic Demi"/>
      <family val="2"/>
      <scheme val="major"/>
    </font>
    <font>
      <sz val="10"/>
      <name val="Arial"/>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6C9DCE"/>
        <bgColor indexed="64"/>
      </patternFill>
    </fill>
    <fill>
      <patternFill patternType="solid">
        <fgColor rgb="FFA3C2E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AC162C"/>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right style="medium">
        <color theme="1" tint="0.499984740745262"/>
      </right>
      <top/>
      <bottom/>
      <diagonal/>
    </border>
    <border>
      <left style="medium">
        <color theme="1" tint="0.499984740745262"/>
      </left>
      <right style="thin">
        <color rgb="FF969696"/>
      </right>
      <top style="thin">
        <color rgb="FF969696"/>
      </top>
      <bottom style="double">
        <color theme="1" tint="0.499984740745262"/>
      </bottom>
      <diagonal/>
    </border>
    <border>
      <left style="thin">
        <color rgb="FF969696"/>
      </left>
      <right style="thin">
        <color rgb="FF969696"/>
      </right>
      <top style="thin">
        <color rgb="FF969696"/>
      </top>
      <bottom style="double">
        <color theme="1" tint="0.499984740745262"/>
      </bottom>
      <diagonal/>
    </border>
    <border>
      <left style="medium">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1" tint="0.499984740745262"/>
      </right>
      <top style="medium">
        <color theme="0" tint="-0.499984740745262"/>
      </top>
      <bottom style="thin">
        <color rgb="FF969696"/>
      </bottom>
      <diagonal/>
    </border>
    <border>
      <left style="thin">
        <color rgb="FF969696"/>
      </left>
      <right style="medium">
        <color theme="1" tint="0.499984740745262"/>
      </right>
      <top style="thin">
        <color rgb="FF969696"/>
      </top>
      <bottom style="double">
        <color theme="1" tint="0.499984740745262"/>
      </bottom>
      <diagonal/>
    </border>
    <border>
      <left style="medium">
        <color theme="1" tint="0.499984740745262"/>
      </left>
      <right style="thin">
        <color rgb="FF969696"/>
      </right>
      <top/>
      <bottom style="medium">
        <color theme="1" tint="0.499984740745262"/>
      </bottom>
      <diagonal/>
    </border>
    <border>
      <left style="thin">
        <color rgb="FF969696"/>
      </left>
      <right style="thin">
        <color rgb="FF969696"/>
      </right>
      <top/>
      <bottom style="medium">
        <color theme="1" tint="0.499984740745262"/>
      </bottom>
      <diagonal/>
    </border>
    <border>
      <left style="thin">
        <color rgb="FF969696"/>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0" tint="-0.499984740745262"/>
      </top>
      <bottom style="thin">
        <color rgb="FF969696"/>
      </bottom>
      <diagonal/>
    </border>
    <border>
      <left style="medium">
        <color theme="1" tint="0.499984740745262"/>
      </left>
      <right style="medium">
        <color theme="1" tint="0.499984740745262"/>
      </right>
      <top style="thin">
        <color rgb="FF969696"/>
      </top>
      <bottom style="double">
        <color theme="1" tint="0.499984740745262"/>
      </bottom>
      <diagonal/>
    </border>
    <border>
      <left style="medium">
        <color theme="1" tint="0.499984740745262"/>
      </left>
      <right style="medium">
        <color theme="1" tint="0.499984740745262"/>
      </right>
      <top/>
      <bottom/>
      <diagonal/>
    </border>
    <border>
      <left style="thin">
        <color theme="1" tint="0.499984740745262"/>
      </left>
      <right/>
      <top style="medium">
        <color theme="0" tint="-0.499984740745262"/>
      </top>
      <bottom style="thin">
        <color rgb="FF969696"/>
      </bottom>
      <diagonal/>
    </border>
    <border>
      <left style="thin">
        <color rgb="FF969696"/>
      </left>
      <right/>
      <top style="thin">
        <color rgb="FF969696"/>
      </top>
      <bottom style="double">
        <color theme="1" tint="0.499984740745262"/>
      </bottom>
      <diagonal/>
    </border>
    <border>
      <left style="thin">
        <color rgb="FF969696"/>
      </left>
      <right/>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thin">
        <color rgb="FF969696"/>
      </right>
      <top/>
      <bottom/>
      <diagonal/>
    </border>
    <border>
      <left style="thin">
        <color rgb="FF969696"/>
      </left>
      <right style="thin">
        <color rgb="FF969696"/>
      </right>
      <top/>
      <bottom/>
      <diagonal/>
    </border>
    <border>
      <left style="thin">
        <color rgb="FF969696"/>
      </left>
      <right style="medium">
        <color theme="1" tint="0.499984740745262"/>
      </right>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diagonal/>
    </border>
    <border>
      <left/>
      <right style="thin">
        <color theme="1" tint="0.499984740745262"/>
      </right>
      <top/>
      <bottom/>
      <diagonal/>
    </border>
    <border>
      <left/>
      <right style="thin">
        <color theme="1" tint="0.499984740745262"/>
      </right>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medium">
        <color theme="0" tint="-0.499984740745262"/>
      </top>
      <bottom style="thin">
        <color rgb="FF969696"/>
      </bottom>
      <diagonal/>
    </border>
    <border>
      <left style="medium">
        <color theme="1" tint="0.499984740745262"/>
      </left>
      <right/>
      <top style="thin">
        <color rgb="FF969696"/>
      </top>
      <bottom style="double">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right/>
      <top/>
      <bottom style="double">
        <color theme="1" tint="0.499984740745262"/>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right style="medium">
        <color theme="1" tint="0.499984740745262"/>
      </right>
      <top/>
      <bottom style="double">
        <color theme="1" tint="0.499984740745262"/>
      </bottom>
      <diagonal/>
    </border>
    <border>
      <left/>
      <right/>
      <top style="thin">
        <color theme="1" tint="0.499984740745262"/>
      </top>
      <bottom/>
      <diagonal/>
    </border>
    <border>
      <left/>
      <right/>
      <top/>
      <bottom style="thin">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s>
  <cellStyleXfs count="53">
    <xf numFmtId="0" fontId="0" fillId="0" borderId="0"/>
    <xf numFmtId="0" fontId="18"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0" fillId="5" borderId="21">
      <alignment vertical="center"/>
    </xf>
    <xf numFmtId="0" fontId="20" fillId="6" borderId="22">
      <alignment horizontal="center" vertical="center"/>
      <protection locked="0"/>
    </xf>
    <xf numFmtId="0" fontId="20" fillId="7" borderId="22">
      <alignment horizontal="center" vertical="center"/>
      <protection locked="0"/>
    </xf>
    <xf numFmtId="44" fontId="26" fillId="8" borderId="23">
      <alignment vertical="center"/>
      <protection locked="0"/>
    </xf>
    <xf numFmtId="44" fontId="20" fillId="8" borderId="24" applyBorder="0">
      <alignment vertical="center"/>
      <protection locked="0"/>
    </xf>
    <xf numFmtId="44" fontId="20" fillId="7" borderId="26" applyBorder="0">
      <alignment vertical="center"/>
      <protection locked="0"/>
    </xf>
    <xf numFmtId="44" fontId="20" fillId="6" borderId="27" applyBorder="0">
      <alignment vertical="center"/>
      <protection locked="0"/>
    </xf>
    <xf numFmtId="44" fontId="20" fillId="6" borderId="28" applyBorder="0">
      <alignment vertical="center"/>
      <protection locked="0"/>
    </xf>
    <xf numFmtId="44" fontId="26" fillId="7" borderId="9" applyBorder="0">
      <alignment vertical="top"/>
      <protection locked="0"/>
    </xf>
    <xf numFmtId="9" fontId="32" fillId="0" borderId="0" applyFont="0" applyFill="0" applyBorder="0" applyAlignment="0" applyProtection="0"/>
    <xf numFmtId="0" fontId="17" fillId="0" borderId="0"/>
    <xf numFmtId="43" fontId="45" fillId="0" borderId="0" applyFont="0" applyFill="0" applyBorder="0" applyAlignment="0" applyProtection="0"/>
  </cellStyleXfs>
  <cellXfs count="213">
    <xf numFmtId="0" fontId="0" fillId="0" borderId="0" xfId="0"/>
    <xf numFmtId="0" fontId="0" fillId="0" borderId="0" xfId="0" applyProtection="1"/>
    <xf numFmtId="0" fontId="23" fillId="0" borderId="0" xfId="0" applyFont="1"/>
    <xf numFmtId="0" fontId="24" fillId="3" borderId="0" xfId="0" applyFont="1" applyFill="1"/>
    <xf numFmtId="0" fontId="24" fillId="3" borderId="0" xfId="0" applyFont="1" applyFill="1" applyAlignment="1">
      <alignment wrapText="1"/>
    </xf>
    <xf numFmtId="0" fontId="24" fillId="3"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164" fontId="25" fillId="0" borderId="0" xfId="0" applyNumberFormat="1" applyFont="1" applyFill="1" applyBorder="1" applyAlignment="1" applyProtection="1">
      <alignment vertical="top"/>
    </xf>
    <xf numFmtId="0" fontId="20" fillId="0" borderId="0" xfId="0" applyFont="1" applyBorder="1" applyAlignment="1" applyProtection="1">
      <alignment vertical="top"/>
    </xf>
    <xf numFmtId="0" fontId="23" fillId="0" borderId="0" xfId="0" applyFont="1" applyProtection="1"/>
    <xf numFmtId="14" fontId="23" fillId="0" borderId="0" xfId="0" applyNumberFormat="1" applyFont="1"/>
    <xf numFmtId="44" fontId="23" fillId="0" borderId="0" xfId="0" applyNumberFormat="1" applyFont="1"/>
    <xf numFmtId="44" fontId="23" fillId="0" borderId="0" xfId="28" applyFont="1"/>
    <xf numFmtId="0" fontId="23" fillId="0" borderId="3" xfId="0" applyFont="1" applyBorder="1"/>
    <xf numFmtId="0" fontId="23" fillId="0" borderId="0" xfId="0" applyFont="1" applyBorder="1"/>
    <xf numFmtId="0" fontId="23" fillId="0" borderId="4" xfId="0" applyFont="1" applyBorder="1"/>
    <xf numFmtId="0" fontId="23" fillId="0" borderId="5" xfId="0" applyFont="1" applyBorder="1"/>
    <xf numFmtId="0" fontId="23" fillId="0" borderId="6" xfId="0" applyFont="1" applyBorder="1"/>
    <xf numFmtId="0" fontId="23" fillId="0" borderId="8" xfId="0" applyFont="1" applyBorder="1"/>
    <xf numFmtId="0" fontId="24" fillId="3" borderId="1" xfId="0" applyFont="1" applyFill="1" applyBorder="1"/>
    <xf numFmtId="0" fontId="24" fillId="3" borderId="2" xfId="0" applyFont="1" applyFill="1" applyBorder="1"/>
    <xf numFmtId="0" fontId="24" fillId="3" borderId="7" xfId="0" applyFont="1" applyFill="1" applyBorder="1"/>
    <xf numFmtId="0" fontId="23" fillId="0" borderId="0" xfId="0" quotePrefix="1" applyFont="1"/>
    <xf numFmtId="14" fontId="23" fillId="4" borderId="0" xfId="0" applyNumberFormat="1" applyFont="1" applyFill="1" applyProtection="1">
      <protection locked="0"/>
    </xf>
    <xf numFmtId="0" fontId="23" fillId="4" borderId="0" xfId="0" applyFont="1" applyFill="1" applyProtection="1">
      <protection locked="0"/>
    </xf>
    <xf numFmtId="0" fontId="29" fillId="0" borderId="0" xfId="0" applyFont="1" applyAlignment="1" applyProtection="1">
      <alignment vertical="center"/>
    </xf>
    <xf numFmtId="165" fontId="30" fillId="10" borderId="21" xfId="41" applyFill="1" applyProtection="1">
      <alignment vertical="center"/>
    </xf>
    <xf numFmtId="44" fontId="20" fillId="8" borderId="25" xfId="44" applyFont="1" applyBorder="1" applyProtection="1">
      <alignment vertical="center"/>
      <protection locked="0"/>
    </xf>
    <xf numFmtId="0" fontId="20" fillId="6" borderId="22" xfId="42" applyProtection="1">
      <alignment horizontal="center" vertical="center"/>
      <protection locked="0"/>
    </xf>
    <xf numFmtId="0" fontId="27" fillId="0" borderId="0" xfId="0" applyFont="1" applyAlignment="1" applyProtection="1">
      <alignment horizontal="right" vertical="center"/>
    </xf>
    <xf numFmtId="9" fontId="23" fillId="0" borderId="0" xfId="50" applyFont="1" applyFill="1" applyBorder="1"/>
    <xf numFmtId="9" fontId="0" fillId="0" borderId="0" xfId="50" applyFont="1"/>
    <xf numFmtId="0" fontId="29" fillId="0" borderId="0" xfId="0" applyFont="1" applyBorder="1" applyAlignment="1" applyProtection="1">
      <alignment vertical="center"/>
    </xf>
    <xf numFmtId="42" fontId="27" fillId="0" borderId="0" xfId="0" applyNumberFormat="1" applyFont="1" applyFill="1" applyBorder="1" applyAlignment="1" applyProtection="1">
      <alignment horizontal="center" vertical="center"/>
    </xf>
    <xf numFmtId="44" fontId="20" fillId="7" borderId="30" xfId="46" applyBorder="1" applyProtection="1">
      <alignment vertical="center"/>
      <protection locked="0"/>
    </xf>
    <xf numFmtId="44" fontId="20" fillId="7" borderId="31" xfId="46" applyBorder="1" applyProtection="1">
      <alignment vertical="center"/>
      <protection locked="0"/>
    </xf>
    <xf numFmtId="42" fontId="27" fillId="0" borderId="10" xfId="0" applyNumberFormat="1" applyFont="1" applyFill="1" applyBorder="1" applyAlignment="1" applyProtection="1">
      <alignment horizontal="center" vertical="center"/>
    </xf>
    <xf numFmtId="42" fontId="27" fillId="0" borderId="11" xfId="0" applyNumberFormat="1" applyFont="1" applyFill="1" applyBorder="1" applyAlignment="1" applyProtection="1">
      <alignment horizontal="center" vertical="center"/>
    </xf>
    <xf numFmtId="42" fontId="27" fillId="0" borderId="12" xfId="0" applyNumberFormat="1" applyFont="1" applyFill="1" applyBorder="1" applyAlignment="1" applyProtection="1">
      <alignment horizontal="center" vertical="center"/>
    </xf>
    <xf numFmtId="44" fontId="20" fillId="8" borderId="32" xfId="44" applyFont="1" applyBorder="1" applyProtection="1">
      <alignment vertical="center"/>
      <protection locked="0"/>
    </xf>
    <xf numFmtId="44" fontId="20" fillId="8" borderId="33" xfId="44" applyFont="1" applyBorder="1" applyProtection="1">
      <alignment vertical="center"/>
      <protection locked="0"/>
    </xf>
    <xf numFmtId="44" fontId="20" fillId="7" borderId="34" xfId="46" applyBorder="1" applyProtection="1">
      <alignment vertical="center"/>
      <protection locked="0"/>
    </xf>
    <xf numFmtId="42" fontId="27" fillId="0" borderId="17" xfId="0" applyNumberFormat="1" applyFont="1" applyFill="1" applyBorder="1" applyAlignment="1" applyProtection="1">
      <alignment horizontal="center" vertical="center"/>
    </xf>
    <xf numFmtId="44" fontId="20" fillId="8" borderId="38" xfId="44" applyFont="1" applyBorder="1" applyProtection="1">
      <alignment vertical="center"/>
      <protection locked="0"/>
    </xf>
    <xf numFmtId="44" fontId="20" fillId="7" borderId="39" xfId="46" applyBorder="1" applyProtection="1">
      <alignment vertical="center"/>
      <protection locked="0"/>
    </xf>
    <xf numFmtId="44" fontId="20" fillId="8" borderId="41" xfId="44" applyFont="1" applyBorder="1" applyProtection="1">
      <alignment vertical="center"/>
      <protection locked="0"/>
    </xf>
    <xf numFmtId="44" fontId="20" fillId="7" borderId="42" xfId="46" applyBorder="1" applyProtection="1">
      <alignment vertical="center"/>
      <protection locked="0"/>
    </xf>
    <xf numFmtId="42" fontId="27" fillId="0" borderId="13" xfId="0" applyNumberFormat="1" applyFont="1" applyFill="1" applyBorder="1" applyAlignment="1" applyProtection="1">
      <alignment horizontal="center" vertical="center"/>
    </xf>
    <xf numFmtId="42" fontId="27" fillId="0" borderId="29" xfId="0" applyNumberFormat="1" applyFont="1" applyFill="1" applyBorder="1" applyAlignment="1" applyProtection="1">
      <alignment horizontal="center" vertical="center"/>
    </xf>
    <xf numFmtId="44" fontId="20" fillId="12" borderId="32" xfId="44" applyFont="1" applyFill="1" applyBorder="1" applyProtection="1">
      <alignment vertical="center"/>
      <protection locked="0"/>
    </xf>
    <xf numFmtId="44" fontId="20" fillId="12" borderId="25" xfId="44" applyFont="1" applyFill="1" applyBorder="1" applyProtection="1">
      <alignment vertical="center"/>
      <protection locked="0"/>
    </xf>
    <xf numFmtId="44" fontId="20" fillId="13" borderId="30" xfId="46" applyFill="1" applyBorder="1" applyProtection="1">
      <alignment vertical="center"/>
      <protection locked="0"/>
    </xf>
    <xf numFmtId="44" fontId="20" fillId="13" borderId="31" xfId="46" applyFill="1" applyBorder="1" applyProtection="1">
      <alignment vertical="center"/>
      <protection locked="0"/>
    </xf>
    <xf numFmtId="0" fontId="17" fillId="0" borderId="0" xfId="0" applyFont="1"/>
    <xf numFmtId="0" fontId="21" fillId="0" borderId="0" xfId="0" applyFont="1" applyAlignment="1" applyProtection="1">
      <alignment horizontal="right"/>
    </xf>
    <xf numFmtId="0" fontId="20" fillId="0" borderId="0" xfId="0" applyFont="1" applyProtection="1"/>
    <xf numFmtId="44" fontId="20" fillId="8" borderId="60" xfId="44" applyFont="1" applyBorder="1" applyProtection="1">
      <alignment vertical="center"/>
      <protection locked="0"/>
    </xf>
    <xf numFmtId="44" fontId="20" fillId="7" borderId="61" xfId="46" applyBorder="1" applyProtection="1">
      <alignment vertical="center"/>
      <protection locked="0"/>
    </xf>
    <xf numFmtId="0" fontId="27" fillId="0" borderId="53" xfId="0" applyFont="1" applyBorder="1" applyAlignment="1" applyProtection="1">
      <alignment horizontal="center" vertical="center" wrapText="1"/>
    </xf>
    <xf numFmtId="0" fontId="27" fillId="0" borderId="62" xfId="0" applyFont="1" applyBorder="1" applyAlignment="1" applyProtection="1">
      <alignment horizontal="center" vertical="center" wrapText="1"/>
    </xf>
    <xf numFmtId="0" fontId="27" fillId="14" borderId="14" xfId="0" applyFont="1" applyFill="1" applyBorder="1" applyAlignment="1" applyProtection="1">
      <alignment horizontal="right" vertical="center"/>
    </xf>
    <xf numFmtId="0" fontId="24" fillId="3" borderId="0" xfId="5" applyFont="1" applyFill="1"/>
    <xf numFmtId="0" fontId="23" fillId="0" borderId="0" xfId="5" applyFont="1"/>
    <xf numFmtId="0" fontId="27" fillId="14" borderId="13" xfId="0" applyFont="1" applyFill="1" applyBorder="1" applyAlignment="1" applyProtection="1">
      <alignment horizontal="right" vertical="center"/>
    </xf>
    <xf numFmtId="0" fontId="36" fillId="0" borderId="0" xfId="0" applyFont="1" applyBorder="1" applyAlignment="1" applyProtection="1">
      <alignment horizontal="center" vertical="center"/>
    </xf>
    <xf numFmtId="0" fontId="20" fillId="0" borderId="0" xfId="0" applyFont="1" applyBorder="1" applyProtection="1"/>
    <xf numFmtId="0" fontId="37" fillId="0" borderId="0" xfId="0" applyFont="1" applyProtection="1"/>
    <xf numFmtId="0" fontId="34" fillId="0" borderId="0" xfId="0" applyFont="1" applyProtection="1"/>
    <xf numFmtId="10" fontId="20" fillId="0" borderId="50" xfId="50" applyNumberFormat="1" applyFont="1" applyFill="1" applyBorder="1" applyAlignment="1" applyProtection="1">
      <alignment vertical="center"/>
    </xf>
    <xf numFmtId="10" fontId="20" fillId="0" borderId="14" xfId="50" applyNumberFormat="1" applyFont="1" applyFill="1" applyBorder="1" applyAlignment="1" applyProtection="1">
      <alignment vertical="center"/>
    </xf>
    <xf numFmtId="10" fontId="20" fillId="0" borderId="35" xfId="50" applyNumberFormat="1" applyFont="1" applyFill="1" applyBorder="1" applyAlignment="1" applyProtection="1">
      <alignment vertical="center"/>
    </xf>
    <xf numFmtId="10" fontId="20" fillId="0" borderId="43" xfId="50" applyNumberFormat="1" applyFont="1" applyFill="1" applyBorder="1" applyAlignment="1" applyProtection="1">
      <alignment vertical="center"/>
    </xf>
    <xf numFmtId="10" fontId="20" fillId="0" borderId="36" xfId="50" applyNumberFormat="1" applyFont="1" applyFill="1" applyBorder="1" applyAlignment="1" applyProtection="1">
      <alignment vertical="center"/>
    </xf>
    <xf numFmtId="10" fontId="20" fillId="0" borderId="37" xfId="50" applyNumberFormat="1" applyFont="1" applyFill="1" applyBorder="1" applyAlignment="1" applyProtection="1">
      <alignment vertical="center"/>
    </xf>
    <xf numFmtId="10" fontId="20" fillId="0" borderId="51" xfId="50" applyNumberFormat="1" applyFont="1" applyFill="1" applyBorder="1" applyAlignment="1" applyProtection="1">
      <alignment vertical="center"/>
    </xf>
    <xf numFmtId="10" fontId="20" fillId="0" borderId="52" xfId="50" applyNumberFormat="1" applyFont="1" applyFill="1" applyBorder="1" applyAlignment="1" applyProtection="1">
      <alignment vertical="center"/>
    </xf>
    <xf numFmtId="0" fontId="20" fillId="15" borderId="22" xfId="42" applyFill="1" applyProtection="1">
      <alignment horizontal="center" vertical="center"/>
    </xf>
    <xf numFmtId="9" fontId="31" fillId="2" borderId="0" xfId="50" applyFont="1" applyFill="1" applyBorder="1" applyAlignment="1" applyProtection="1">
      <alignment vertical="center"/>
    </xf>
    <xf numFmtId="44" fontId="0" fillId="0" borderId="64" xfId="0" applyNumberFormat="1" applyBorder="1"/>
    <xf numFmtId="44" fontId="0" fillId="0" borderId="66" xfId="0" applyNumberFormat="1" applyBorder="1"/>
    <xf numFmtId="10" fontId="0" fillId="4" borderId="65" xfId="50" applyNumberFormat="1" applyFont="1" applyFill="1" applyBorder="1"/>
    <xf numFmtId="0" fontId="0" fillId="11" borderId="29" xfId="0" applyFill="1" applyBorder="1"/>
    <xf numFmtId="10" fontId="0" fillId="4" borderId="16" xfId="50" applyNumberFormat="1" applyFont="1" applyFill="1" applyBorder="1"/>
    <xf numFmtId="0" fontId="17" fillId="4" borderId="68" xfId="0" applyFont="1" applyFill="1" applyBorder="1"/>
    <xf numFmtId="0" fontId="0" fillId="11" borderId="0" xfId="0" applyFill="1" applyBorder="1"/>
    <xf numFmtId="0" fontId="17" fillId="4" borderId="15" xfId="0" applyFont="1" applyFill="1" applyBorder="1"/>
    <xf numFmtId="10" fontId="20" fillId="0" borderId="18" xfId="50" applyNumberFormat="1" applyFont="1" applyFill="1" applyBorder="1" applyAlignment="1" applyProtection="1">
      <alignment vertical="center"/>
    </xf>
    <xf numFmtId="0" fontId="40" fillId="0" borderId="0" xfId="0" applyFont="1" applyAlignment="1">
      <alignment horizontal="left" vertical="center"/>
    </xf>
    <xf numFmtId="0" fontId="24" fillId="3" borderId="0" xfId="51" applyFont="1" applyFill="1" applyAlignment="1" applyProtection="1">
      <alignment wrapText="1"/>
    </xf>
    <xf numFmtId="0" fontId="23" fillId="0" borderId="0" xfId="51" applyFont="1" applyProtection="1"/>
    <xf numFmtId="0" fontId="23" fillId="0" borderId="0" xfId="51" applyNumberFormat="1" applyFont="1" applyProtection="1"/>
    <xf numFmtId="10" fontId="23" fillId="0" borderId="0" xfId="50" applyNumberFormat="1" applyFont="1"/>
    <xf numFmtId="0" fontId="23" fillId="0" borderId="0" xfId="51" applyFont="1" applyBorder="1" applyProtection="1"/>
    <xf numFmtId="0" fontId="17" fillId="0" borderId="67" xfId="0" applyFont="1" applyBorder="1" applyAlignment="1">
      <alignment horizontal="right"/>
    </xf>
    <xf numFmtId="0" fontId="17" fillId="0" borderId="63" xfId="0" applyFont="1" applyBorder="1" applyAlignment="1">
      <alignment horizontal="right"/>
    </xf>
    <xf numFmtId="0" fontId="20" fillId="6" borderId="22" xfId="42" applyProtection="1">
      <alignment horizontal="center" vertical="center"/>
      <protection locked="0"/>
    </xf>
    <xf numFmtId="0" fontId="38" fillId="0" borderId="0" xfId="0" applyFont="1" applyAlignment="1" applyProtection="1">
      <alignment horizontal="center" vertical="center"/>
    </xf>
    <xf numFmtId="0" fontId="38" fillId="0" borderId="0" xfId="0" applyFont="1" applyBorder="1" applyAlignment="1" applyProtection="1">
      <alignment horizontal="center" vertical="center"/>
    </xf>
    <xf numFmtId="0" fontId="20" fillId="15" borderId="22" xfId="42" applyFill="1" applyProtection="1">
      <alignment horizontal="center" vertical="center"/>
    </xf>
    <xf numFmtId="9" fontId="30" fillId="10" borderId="21" xfId="50" applyFont="1" applyFill="1" applyBorder="1" applyAlignment="1" applyProtection="1">
      <alignment horizontal="center" vertical="center"/>
    </xf>
    <xf numFmtId="0" fontId="0" fillId="0" borderId="0" xfId="0" applyAlignment="1">
      <alignment horizontal="center"/>
    </xf>
    <xf numFmtId="17" fontId="31" fillId="9" borderId="53" xfId="0" applyNumberFormat="1" applyFont="1" applyFill="1" applyBorder="1" applyAlignment="1" applyProtection="1">
      <alignment horizontal="center" vertical="center"/>
    </xf>
    <xf numFmtId="17" fontId="31" fillId="9" borderId="69" xfId="0" applyNumberFormat="1" applyFont="1" applyFill="1" applyBorder="1" applyAlignment="1" applyProtection="1">
      <alignment horizontal="center" vertical="center"/>
    </xf>
    <xf numFmtId="17" fontId="31" fillId="9" borderId="62" xfId="0" applyNumberFormat="1" applyFont="1" applyFill="1" applyBorder="1" applyAlignment="1" applyProtection="1">
      <alignment horizontal="center" vertical="center"/>
    </xf>
    <xf numFmtId="0" fontId="38" fillId="0" borderId="0" xfId="0" applyFont="1" applyAlignment="1" applyProtection="1">
      <alignment horizontal="left" vertical="center"/>
    </xf>
    <xf numFmtId="0" fontId="43" fillId="0" borderId="0" xfId="0" applyFont="1" applyAlignment="1" applyProtection="1">
      <alignment vertical="center"/>
    </xf>
    <xf numFmtId="43" fontId="24" fillId="3" borderId="0" xfId="52" applyFont="1" applyFill="1" applyAlignment="1">
      <alignment horizontal="center" wrapText="1"/>
    </xf>
    <xf numFmtId="43" fontId="0" fillId="0" borderId="0" xfId="52" applyFont="1"/>
    <xf numFmtId="0" fontId="20" fillId="6" borderId="22" xfId="42" applyProtection="1">
      <alignment horizontal="center" vertical="center"/>
      <protection locked="0"/>
    </xf>
    <xf numFmtId="0" fontId="20" fillId="7" borderId="22" xfId="43" applyProtection="1">
      <alignment horizontal="center" vertical="center"/>
      <protection locked="0"/>
    </xf>
    <xf numFmtId="0" fontId="20" fillId="14" borderId="10" xfId="0" applyFont="1" applyFill="1" applyBorder="1" applyAlignment="1" applyProtection="1">
      <alignment horizontal="center" vertical="center" wrapText="1"/>
    </xf>
    <xf numFmtId="0" fontId="20" fillId="14" borderId="54" xfId="0" applyFont="1" applyFill="1" applyBorder="1" applyAlignment="1" applyProtection="1">
      <alignment horizontal="center" vertical="center" wrapText="1"/>
    </xf>
    <xf numFmtId="0" fontId="20" fillId="14" borderId="13" xfId="0" applyFont="1" applyFill="1" applyBorder="1" applyAlignment="1" applyProtection="1">
      <alignment horizontal="center" vertical="center" wrapText="1"/>
    </xf>
    <xf numFmtId="0" fontId="20" fillId="14" borderId="55" xfId="0" applyFont="1" applyFill="1" applyBorder="1" applyAlignment="1" applyProtection="1">
      <alignment horizontal="center" vertical="center" wrapText="1"/>
    </xf>
    <xf numFmtId="0" fontId="20" fillId="14" borderId="14" xfId="0" applyFont="1" applyFill="1" applyBorder="1" applyAlignment="1" applyProtection="1">
      <alignment horizontal="center" vertical="center" wrapText="1"/>
    </xf>
    <xf numFmtId="0" fontId="20" fillId="14" borderId="56" xfId="0" applyFont="1" applyFill="1" applyBorder="1" applyAlignment="1" applyProtection="1">
      <alignment horizontal="center" vertical="center" wrapText="1"/>
    </xf>
    <xf numFmtId="0" fontId="27" fillId="0" borderId="11" xfId="0" applyFont="1" applyBorder="1" applyAlignment="1" applyProtection="1">
      <alignment horizontal="left" vertical="center"/>
    </xf>
    <xf numFmtId="0" fontId="27" fillId="0" borderId="12" xfId="0" applyFont="1" applyBorder="1" applyAlignment="1" applyProtection="1">
      <alignment horizontal="left" vertical="center"/>
    </xf>
    <xf numFmtId="0" fontId="28" fillId="17" borderId="0" xfId="0" applyFont="1" applyFill="1" applyBorder="1" applyAlignment="1" applyProtection="1">
      <alignment horizontal="center" vertical="center" wrapText="1"/>
    </xf>
    <xf numFmtId="0" fontId="28" fillId="17" borderId="15" xfId="0" applyFont="1" applyFill="1" applyBorder="1" applyAlignment="1" applyProtection="1">
      <alignment horizontal="center" vertical="center" wrapText="1"/>
    </xf>
    <xf numFmtId="0" fontId="27" fillId="0" borderId="48" xfId="0" applyNumberFormat="1" applyFont="1" applyBorder="1" applyAlignment="1" applyProtection="1">
      <alignment horizontal="center" vertical="center" wrapText="1"/>
      <protection locked="0"/>
    </xf>
    <xf numFmtId="0" fontId="27" fillId="0" borderId="44" xfId="0" applyNumberFormat="1" applyFont="1" applyBorder="1" applyAlignment="1" applyProtection="1">
      <alignment horizontal="center" vertical="center" wrapText="1"/>
      <protection locked="0"/>
    </xf>
    <xf numFmtId="0" fontId="23" fillId="0" borderId="49" xfId="0" applyNumberFormat="1" applyFont="1" applyFill="1" applyBorder="1" applyAlignment="1" applyProtection="1">
      <alignment horizontal="left" vertical="top" wrapText="1"/>
      <protection locked="0"/>
    </xf>
    <xf numFmtId="0" fontId="23" fillId="0" borderId="45" xfId="0" applyNumberFormat="1" applyFont="1" applyFill="1" applyBorder="1" applyAlignment="1" applyProtection="1">
      <alignment horizontal="left" vertical="top" wrapText="1"/>
      <protection locked="0"/>
    </xf>
    <xf numFmtId="0" fontId="27" fillId="0" borderId="0" xfId="0" applyFont="1" applyAlignment="1" applyProtection="1">
      <alignment horizontal="right" vertical="center"/>
    </xf>
    <xf numFmtId="0" fontId="27" fillId="0" borderId="0" xfId="0" applyFont="1" applyBorder="1" applyAlignment="1" applyProtection="1">
      <alignment horizontal="right" vertical="center"/>
    </xf>
    <xf numFmtId="0" fontId="31" fillId="9" borderId="19" xfId="0" applyFont="1" applyFill="1" applyBorder="1" applyAlignment="1" applyProtection="1">
      <alignment horizontal="center" vertical="center" wrapText="1"/>
    </xf>
    <xf numFmtId="0" fontId="31" fillId="9" borderId="20" xfId="0" applyFont="1" applyFill="1" applyBorder="1" applyAlignment="1" applyProtection="1">
      <alignment horizontal="center" vertical="center" wrapText="1"/>
    </xf>
    <xf numFmtId="0" fontId="20" fillId="0" borderId="0" xfId="0" applyFont="1" applyBorder="1" applyAlignment="1" applyProtection="1">
      <alignment horizontal="left" vertical="center"/>
    </xf>
    <xf numFmtId="0" fontId="20" fillId="0" borderId="29" xfId="0" applyFont="1" applyBorder="1" applyAlignment="1" applyProtection="1">
      <alignment horizontal="left" vertical="center"/>
    </xf>
    <xf numFmtId="42" fontId="20" fillId="11" borderId="11" xfId="0" applyNumberFormat="1" applyFont="1" applyFill="1" applyBorder="1" applyAlignment="1" applyProtection="1">
      <alignment horizontal="center" vertical="top"/>
    </xf>
    <xf numFmtId="42" fontId="20" fillId="11" borderId="0" xfId="0" applyNumberFormat="1" applyFont="1" applyFill="1" applyBorder="1" applyAlignment="1" applyProtection="1">
      <alignment horizontal="center" vertical="top"/>
    </xf>
    <xf numFmtId="0" fontId="27" fillId="0" borderId="0" xfId="0" applyFont="1" applyBorder="1" applyAlignment="1" applyProtection="1">
      <alignment horizontal="left" vertical="center"/>
    </xf>
    <xf numFmtId="0" fontId="27" fillId="0" borderId="29" xfId="0" applyFont="1" applyBorder="1" applyAlignment="1" applyProtection="1">
      <alignment horizontal="left" vertical="center"/>
    </xf>
    <xf numFmtId="0" fontId="20" fillId="0" borderId="10" xfId="0" applyFont="1" applyBorder="1" applyAlignment="1" applyProtection="1">
      <alignment horizontal="center" vertical="center" wrapText="1"/>
    </xf>
    <xf numFmtId="0" fontId="20" fillId="0" borderId="54"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55"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20" fillId="0" borderId="56" xfId="0" applyFont="1" applyBorder="1" applyAlignment="1" applyProtection="1">
      <alignment horizontal="center" vertical="center" wrapText="1"/>
    </xf>
    <xf numFmtId="0" fontId="20" fillId="0" borderId="15" xfId="0" applyFont="1" applyBorder="1" applyAlignment="1" applyProtection="1">
      <alignment horizontal="left" vertical="center"/>
    </xf>
    <xf numFmtId="0" fontId="20" fillId="0" borderId="16" xfId="0" applyFont="1" applyBorder="1" applyAlignment="1" applyProtection="1">
      <alignment horizontal="left" vertical="center"/>
    </xf>
    <xf numFmtId="0" fontId="20" fillId="11" borderId="10" xfId="0" applyFont="1" applyFill="1" applyBorder="1" applyAlignment="1" applyProtection="1">
      <alignment horizontal="center" vertical="top"/>
    </xf>
    <xf numFmtId="0" fontId="20" fillId="11" borderId="11" xfId="0" applyFont="1" applyFill="1" applyBorder="1" applyAlignment="1" applyProtection="1">
      <alignment horizontal="center" vertical="top"/>
    </xf>
    <xf numFmtId="0" fontId="20" fillId="11" borderId="12" xfId="0" applyFont="1" applyFill="1" applyBorder="1" applyAlignment="1" applyProtection="1">
      <alignment horizontal="center" vertical="top"/>
    </xf>
    <xf numFmtId="0" fontId="20" fillId="11" borderId="13" xfId="0" applyFont="1" applyFill="1" applyBorder="1" applyAlignment="1" applyProtection="1">
      <alignment horizontal="center" vertical="top"/>
    </xf>
    <xf numFmtId="0" fontId="20" fillId="11" borderId="0" xfId="0" applyFont="1" applyFill="1" applyBorder="1" applyAlignment="1" applyProtection="1">
      <alignment horizontal="center" vertical="top"/>
    </xf>
    <xf numFmtId="0" fontId="20" fillId="11" borderId="29" xfId="0" applyFont="1" applyFill="1" applyBorder="1" applyAlignment="1" applyProtection="1">
      <alignment horizontal="center" vertical="top"/>
    </xf>
    <xf numFmtId="0" fontId="20" fillId="11" borderId="14" xfId="0" applyFont="1" applyFill="1" applyBorder="1" applyAlignment="1" applyProtection="1">
      <alignment horizontal="center" vertical="top"/>
    </xf>
    <xf numFmtId="0" fontId="20" fillId="11" borderId="15" xfId="0" applyFont="1" applyFill="1" applyBorder="1" applyAlignment="1" applyProtection="1">
      <alignment horizontal="center" vertical="top"/>
    </xf>
    <xf numFmtId="0" fontId="20" fillId="11" borderId="16" xfId="0" applyFont="1" applyFill="1" applyBorder="1" applyAlignment="1" applyProtection="1">
      <alignment horizontal="center" vertical="top"/>
    </xf>
    <xf numFmtId="0" fontId="20" fillId="11" borderId="17" xfId="0" applyFont="1" applyFill="1" applyBorder="1" applyAlignment="1" applyProtection="1">
      <alignment horizontal="center" vertical="top"/>
    </xf>
    <xf numFmtId="0" fontId="20" fillId="11" borderId="40" xfId="0" applyFont="1" applyFill="1" applyBorder="1" applyAlignment="1" applyProtection="1">
      <alignment horizontal="center" vertical="top"/>
    </xf>
    <xf numFmtId="0" fontId="20" fillId="11" borderId="18" xfId="0" applyFont="1" applyFill="1" applyBorder="1" applyAlignment="1" applyProtection="1">
      <alignment horizontal="center" vertical="top"/>
    </xf>
    <xf numFmtId="0" fontId="0" fillId="11" borderId="13" xfId="0" applyFill="1" applyBorder="1" applyAlignment="1" applyProtection="1">
      <alignment horizontal="center"/>
    </xf>
    <xf numFmtId="0" fontId="0" fillId="11" borderId="29" xfId="0" applyFill="1" applyBorder="1" applyAlignment="1" applyProtection="1">
      <alignment horizontal="center"/>
    </xf>
    <xf numFmtId="0" fontId="27" fillId="0" borderId="44" xfId="0" applyFont="1" applyBorder="1" applyAlignment="1" applyProtection="1">
      <alignment horizontal="center" vertical="center" wrapText="1"/>
      <protection locked="0"/>
    </xf>
    <xf numFmtId="0" fontId="23" fillId="0" borderId="45" xfId="0" applyFont="1" applyBorder="1" applyAlignment="1" applyProtection="1">
      <alignment horizontal="left" vertical="top" wrapText="1"/>
      <protection locked="0"/>
    </xf>
    <xf numFmtId="0" fontId="42" fillId="0" borderId="44" xfId="0" applyFont="1" applyBorder="1" applyAlignment="1" applyProtection="1">
      <alignment horizontal="center" vertical="center" wrapText="1"/>
      <protection locked="0"/>
    </xf>
    <xf numFmtId="0" fontId="42" fillId="0" borderId="46" xfId="0" applyFont="1" applyBorder="1" applyAlignment="1" applyProtection="1">
      <alignment horizontal="center" vertical="center" wrapText="1"/>
      <protection locked="0"/>
    </xf>
    <xf numFmtId="0" fontId="41" fillId="0" borderId="45" xfId="0" applyFont="1" applyBorder="1" applyAlignment="1" applyProtection="1">
      <alignment horizontal="left" vertical="top" wrapText="1"/>
      <protection locked="0"/>
    </xf>
    <xf numFmtId="0" fontId="41" fillId="0" borderId="47" xfId="0" applyFont="1" applyBorder="1" applyAlignment="1" applyProtection="1">
      <alignment horizontal="left" vertical="top" wrapText="1"/>
      <protection locked="0"/>
    </xf>
    <xf numFmtId="0" fontId="36" fillId="0" borderId="0" xfId="0" applyFont="1" applyBorder="1" applyAlignment="1" applyProtection="1">
      <alignment horizontal="right" vertical="center"/>
    </xf>
    <xf numFmtId="0" fontId="31" fillId="9" borderId="10" xfId="0" applyFont="1" applyFill="1" applyBorder="1" applyAlignment="1" applyProtection="1">
      <alignment horizontal="center" vertical="center"/>
    </xf>
    <xf numFmtId="0" fontId="31" fillId="9" borderId="12" xfId="0" applyFont="1" applyFill="1" applyBorder="1" applyAlignment="1" applyProtection="1">
      <alignment horizontal="center" vertical="center"/>
    </xf>
    <xf numFmtId="0" fontId="27" fillId="14" borderId="57" xfId="0" applyFont="1" applyFill="1" applyBorder="1" applyAlignment="1" applyProtection="1">
      <alignment horizontal="center" vertical="center"/>
    </xf>
    <xf numFmtId="0" fontId="27" fillId="14" borderId="58" xfId="0" applyFont="1" applyFill="1" applyBorder="1" applyAlignment="1" applyProtection="1">
      <alignment horizontal="center" vertical="center"/>
    </xf>
    <xf numFmtId="0" fontId="27" fillId="14" borderId="59" xfId="0" applyFont="1" applyFill="1" applyBorder="1" applyAlignment="1" applyProtection="1">
      <alignment horizontal="center" vertical="center"/>
    </xf>
    <xf numFmtId="0" fontId="20" fillId="14" borderId="0" xfId="0" applyFont="1" applyFill="1" applyBorder="1" applyAlignment="1" applyProtection="1">
      <alignment horizontal="left" vertical="center"/>
    </xf>
    <xf numFmtId="0" fontId="20" fillId="14" borderId="29" xfId="0" applyFont="1" applyFill="1" applyBorder="1" applyAlignment="1" applyProtection="1">
      <alignment horizontal="left" vertical="center"/>
    </xf>
    <xf numFmtId="0" fontId="20" fillId="14" borderId="15" xfId="0" applyFont="1" applyFill="1" applyBorder="1" applyAlignment="1" applyProtection="1">
      <alignment horizontal="left" vertical="center"/>
    </xf>
    <xf numFmtId="0" fontId="20" fillId="14" borderId="16" xfId="0" applyFont="1" applyFill="1" applyBorder="1" applyAlignment="1" applyProtection="1">
      <alignment horizontal="left" vertical="center"/>
    </xf>
    <xf numFmtId="0" fontId="20" fillId="16" borderId="0" xfId="0" applyFont="1" applyFill="1" applyBorder="1" applyAlignment="1" applyProtection="1">
      <alignment vertical="top" wrapText="1"/>
    </xf>
    <xf numFmtId="0" fontId="20" fillId="0" borderId="0" xfId="0" applyFont="1" applyBorder="1" applyAlignment="1" applyProtection="1">
      <alignment vertical="top" wrapText="1"/>
    </xf>
    <xf numFmtId="0" fontId="27" fillId="0" borderId="10" xfId="0" applyNumberFormat="1" applyFont="1" applyBorder="1" applyAlignment="1" applyProtection="1">
      <alignment horizontal="left" vertical="center" wrapText="1"/>
    </xf>
    <xf numFmtId="0" fontId="27" fillId="0" borderId="12" xfId="0" applyNumberFormat="1" applyFont="1" applyBorder="1" applyAlignment="1" applyProtection="1">
      <alignment horizontal="left" vertical="center" wrapText="1"/>
    </xf>
    <xf numFmtId="0" fontId="27" fillId="0" borderId="10" xfId="0" applyNumberFormat="1" applyFont="1" applyFill="1" applyBorder="1" applyAlignment="1" applyProtection="1">
      <alignment horizontal="left" vertical="center" wrapText="1"/>
    </xf>
    <xf numFmtId="0" fontId="27" fillId="0" borderId="12" xfId="0" applyNumberFormat="1" applyFont="1" applyFill="1" applyBorder="1" applyAlignment="1" applyProtection="1">
      <alignment horizontal="left" vertical="center" wrapText="1"/>
    </xf>
    <xf numFmtId="49" fontId="23" fillId="0" borderId="13" xfId="0" applyNumberFormat="1" applyFont="1" applyBorder="1" applyAlignment="1" applyProtection="1">
      <alignment horizontal="left" vertical="top" wrapText="1"/>
      <protection locked="0"/>
    </xf>
    <xf numFmtId="49" fontId="23" fillId="0" borderId="29" xfId="0" applyNumberFormat="1" applyFont="1" applyBorder="1" applyAlignment="1" applyProtection="1">
      <alignment horizontal="left" vertical="top" wrapText="1"/>
      <protection locked="0"/>
    </xf>
    <xf numFmtId="49" fontId="23" fillId="0" borderId="14" xfId="0" applyNumberFormat="1" applyFont="1" applyBorder="1" applyAlignment="1" applyProtection="1">
      <alignment horizontal="left" vertical="top" wrapText="1"/>
      <protection locked="0"/>
    </xf>
    <xf numFmtId="49" fontId="23" fillId="0" borderId="16" xfId="0" applyNumberFormat="1" applyFont="1" applyBorder="1" applyAlignment="1" applyProtection="1">
      <alignment horizontal="left" vertical="top" wrapText="1"/>
      <protection locked="0"/>
    </xf>
    <xf numFmtId="49" fontId="23" fillId="0" borderId="13" xfId="0" applyNumberFormat="1" applyFont="1" applyFill="1" applyBorder="1" applyAlignment="1" applyProtection="1">
      <alignment horizontal="left" vertical="top" wrapText="1"/>
      <protection locked="0"/>
    </xf>
    <xf numFmtId="49" fontId="23" fillId="0" borderId="29" xfId="0" applyNumberFormat="1" applyFont="1" applyFill="1" applyBorder="1" applyAlignment="1" applyProtection="1">
      <alignment horizontal="left" vertical="top" wrapText="1"/>
      <protection locked="0"/>
    </xf>
    <xf numFmtId="49" fontId="23" fillId="0" borderId="14" xfId="0" applyNumberFormat="1" applyFont="1" applyFill="1" applyBorder="1" applyAlignment="1" applyProtection="1">
      <alignment horizontal="left" vertical="top" wrapText="1"/>
      <protection locked="0"/>
    </xf>
    <xf numFmtId="49" fontId="23" fillId="0" borderId="16" xfId="0" applyNumberFormat="1" applyFont="1" applyFill="1" applyBorder="1" applyAlignment="1" applyProtection="1">
      <alignment horizontal="left" vertical="top" wrapText="1"/>
      <protection locked="0"/>
    </xf>
    <xf numFmtId="0" fontId="0" fillId="11" borderId="10" xfId="0" applyFill="1" applyBorder="1" applyAlignment="1" applyProtection="1">
      <alignment horizontal="center"/>
    </xf>
    <xf numFmtId="0" fontId="0" fillId="11" borderId="11" xfId="0" applyFill="1" applyBorder="1" applyAlignment="1" applyProtection="1">
      <alignment horizontal="center"/>
    </xf>
    <xf numFmtId="0" fontId="0" fillId="11" borderId="0" xfId="0" applyFill="1" applyAlignment="1" applyProtection="1">
      <alignment horizontal="center"/>
    </xf>
    <xf numFmtId="0" fontId="0" fillId="11" borderId="14" xfId="0" applyFill="1" applyBorder="1" applyAlignment="1" applyProtection="1">
      <alignment horizontal="center"/>
    </xf>
    <xf numFmtId="0" fontId="0" fillId="11" borderId="15" xfId="0" applyFill="1" applyBorder="1" applyAlignment="1" applyProtection="1">
      <alignment horizontal="center"/>
    </xf>
    <xf numFmtId="0" fontId="39" fillId="9" borderId="10" xfId="0" applyFont="1" applyFill="1" applyBorder="1" applyAlignment="1">
      <alignment horizontal="center" vertical="center"/>
    </xf>
    <xf numFmtId="0" fontId="39" fillId="9" borderId="12" xfId="0" applyFont="1" applyFill="1" applyBorder="1" applyAlignment="1">
      <alignment horizontal="center" vertical="center"/>
    </xf>
    <xf numFmtId="42" fontId="20" fillId="11" borderId="12" xfId="0" applyNumberFormat="1" applyFont="1" applyFill="1" applyBorder="1" applyAlignment="1" applyProtection="1">
      <alignment horizontal="center" vertical="top"/>
    </xf>
    <xf numFmtId="42" fontId="20" fillId="11" borderId="29" xfId="0" applyNumberFormat="1" applyFont="1" applyFill="1" applyBorder="1" applyAlignment="1" applyProtection="1">
      <alignment horizontal="center" vertical="top"/>
    </xf>
    <xf numFmtId="0" fontId="20" fillId="15" borderId="22" xfId="42" applyFill="1" applyProtection="1">
      <alignment horizontal="center" vertical="center"/>
    </xf>
    <xf numFmtId="0" fontId="44" fillId="14" borderId="10" xfId="0" applyFont="1" applyFill="1" applyBorder="1" applyAlignment="1" applyProtection="1">
      <alignment horizontal="left" vertical="center" wrapText="1"/>
    </xf>
    <xf numFmtId="0" fontId="44" fillId="14" borderId="11" xfId="0" applyFont="1" applyFill="1" applyBorder="1" applyAlignment="1" applyProtection="1">
      <alignment horizontal="left" vertical="center" wrapText="1"/>
    </xf>
    <xf numFmtId="0" fontId="44" fillId="14" borderId="12" xfId="0" applyFont="1" applyFill="1" applyBorder="1" applyAlignment="1" applyProtection="1">
      <alignment horizontal="left" vertical="center" wrapText="1"/>
    </xf>
    <xf numFmtId="0" fontId="44" fillId="14" borderId="13" xfId="0" applyFont="1" applyFill="1" applyBorder="1" applyAlignment="1" applyProtection="1">
      <alignment horizontal="left" vertical="center" wrapText="1"/>
    </xf>
    <xf numFmtId="0" fontId="44" fillId="14" borderId="0" xfId="0" applyFont="1" applyFill="1" applyBorder="1" applyAlignment="1" applyProtection="1">
      <alignment horizontal="left" vertical="center" wrapText="1"/>
    </xf>
    <xf numFmtId="0" fontId="44" fillId="14" borderId="29" xfId="0" applyFont="1" applyFill="1" applyBorder="1" applyAlignment="1" applyProtection="1">
      <alignment horizontal="left" vertical="center" wrapText="1"/>
    </xf>
    <xf numFmtId="0" fontId="44" fillId="14" borderId="14" xfId="0" applyFont="1" applyFill="1" applyBorder="1" applyAlignment="1" applyProtection="1">
      <alignment horizontal="left" vertical="center" wrapText="1"/>
    </xf>
    <xf numFmtId="0" fontId="44" fillId="14" borderId="15" xfId="0" applyFont="1" applyFill="1" applyBorder="1" applyAlignment="1" applyProtection="1">
      <alignment horizontal="left" vertical="center" wrapText="1"/>
    </xf>
    <xf numFmtId="0" fontId="44" fillId="14" borderId="16" xfId="0" applyFont="1" applyFill="1" applyBorder="1" applyAlignment="1" applyProtection="1">
      <alignment horizontal="left" vertical="center" wrapText="1"/>
    </xf>
    <xf numFmtId="0" fontId="31" fillId="2" borderId="0" xfId="0" applyFont="1" applyFill="1" applyAlignment="1" applyProtection="1">
      <alignment horizontal="right" vertical="center"/>
    </xf>
    <xf numFmtId="0" fontId="23" fillId="0" borderId="67" xfId="0" applyFont="1" applyBorder="1" applyAlignment="1">
      <alignment horizontal="left" vertical="center" wrapText="1"/>
    </xf>
    <xf numFmtId="0" fontId="23" fillId="0" borderId="64" xfId="0" applyFont="1" applyBorder="1" applyAlignment="1">
      <alignment horizontal="left" vertical="center" wrapText="1"/>
    </xf>
    <xf numFmtId="0" fontId="23" fillId="0" borderId="68" xfId="0" applyFont="1" applyBorder="1" applyAlignment="1">
      <alignment horizontal="left" vertical="center" wrapText="1"/>
    </xf>
    <xf numFmtId="0" fontId="23" fillId="0" borderId="65" xfId="0" applyFont="1" applyBorder="1" applyAlignment="1">
      <alignment horizontal="left" vertical="center" wrapText="1"/>
    </xf>
  </cellXfs>
  <cellStyles count="53">
    <cellStyle name="Budget Authority" xfId="41"/>
    <cellStyle name="Comma" xfId="52" builtinId="3"/>
    <cellStyle name="Comma 2" xfId="8"/>
    <cellStyle name="Comma 3" xfId="38"/>
    <cellStyle name="Currency" xfId="28" builtinId="4"/>
    <cellStyle name="Currency 10" xfId="40"/>
    <cellStyle name="Currency 2" xfId="6"/>
    <cellStyle name="Currency 3" xfId="9"/>
    <cellStyle name="Currency 4" xfId="20"/>
    <cellStyle name="Currency 5" xfId="23"/>
    <cellStyle name="Currency 6" xfId="27"/>
    <cellStyle name="Currency 7" xfId="31"/>
    <cellStyle name="Currency 8" xfId="33"/>
    <cellStyle name="Currency 9" xfId="35"/>
    <cellStyle name="Line 1 Report Info Fill in" xfId="42"/>
    <cellStyle name="Line 2 Report Information Fill In" xfId="43"/>
    <cellStyle name="Normal" xfId="0" builtinId="0"/>
    <cellStyle name="Normal 10" xfId="25"/>
    <cellStyle name="Normal 10 2" xfId="51"/>
    <cellStyle name="Normal 11" xfId="26"/>
    <cellStyle name="Normal 12" xfId="29"/>
    <cellStyle name="Normal 13" xfId="30"/>
    <cellStyle name="Normal 14" xfId="32"/>
    <cellStyle name="Normal 15" xfId="36"/>
    <cellStyle name="Normal 16" xfId="37"/>
    <cellStyle name="Normal 17" xfId="39"/>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5" xfId="4"/>
    <cellStyle name="Normal 6" xfId="7"/>
    <cellStyle name="Normal 7" xfId="19"/>
    <cellStyle name="Normal 8" xfId="21"/>
    <cellStyle name="Normal 9" xfId="22"/>
    <cellStyle name="Percent" xfId="50" builtinId="5"/>
    <cellStyle name="Percent 2" xfId="16"/>
    <cellStyle name="Percent 2 2" xfId="17"/>
    <cellStyle name="Percent 2 3" xfId="18"/>
    <cellStyle name="Percent 3" xfId="34"/>
    <cellStyle name="Required Data Entry Even Bottom" xfId="49"/>
    <cellStyle name="Required Data Entry Even Rows" xfId="46"/>
    <cellStyle name="Required Data Entry Odd Bottom" xfId="48"/>
    <cellStyle name="Required Data Entry Odd Rows" xfId="47"/>
    <cellStyle name="Required Data Entry Top Row" xfId="45"/>
    <cellStyle name="Row 1 Odd Data Entry Required" xfId="44"/>
  </cellStyles>
  <dxfs count="196">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9"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195"/>
      <tableStyleElement type="totalRow" dxfId="194"/>
      <tableStyleElement type="firstColumn" dxfId="193"/>
      <tableStyleElement type="lastColumn" dxfId="192"/>
      <tableStyleElement type="firstRowStripe" dxfId="191"/>
      <tableStyleElement type="secondRowStripe" dxfId="190"/>
    </tableStyle>
  </tableStyles>
  <colors>
    <mruColors>
      <color rgb="FFAC162C"/>
      <color rgb="FF6C9DCE"/>
      <color rgb="FFA3C2E1"/>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E2BB3E45-2A15-4219-BC78-943481017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243541</xdr:colOff>
      <xdr:row>0</xdr:row>
      <xdr:rowOff>65742</xdr:rowOff>
    </xdr:from>
    <xdr:to>
      <xdr:col>11</xdr:col>
      <xdr:colOff>1126145</xdr:colOff>
      <xdr:row>2</xdr:row>
      <xdr:rowOff>207303</xdr:rowOff>
    </xdr:to>
    <xdr:pic>
      <xdr:nvPicPr>
        <xdr:cNvPr id="2" name="Picture 1">
          <a:extLst>
            <a:ext uri="{FF2B5EF4-FFF2-40B4-BE49-F238E27FC236}">
              <a16:creationId xmlns:a16="http://schemas.microsoft.com/office/drawing/2014/main" id="{57EFB908-6554-41C3-AE39-CF8F5BF2F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00541" y="65742"/>
          <a:ext cx="2266904" cy="7511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205441</xdr:colOff>
      <xdr:row>0</xdr:row>
      <xdr:rowOff>91142</xdr:rowOff>
    </xdr:from>
    <xdr:to>
      <xdr:col>13</xdr:col>
      <xdr:colOff>2464766</xdr:colOff>
      <xdr:row>2</xdr:row>
      <xdr:rowOff>232703</xdr:rowOff>
    </xdr:to>
    <xdr:pic>
      <xdr:nvPicPr>
        <xdr:cNvPr id="2" name="Picture 1">
          <a:extLst>
            <a:ext uri="{FF2B5EF4-FFF2-40B4-BE49-F238E27FC236}">
              <a16:creationId xmlns:a16="http://schemas.microsoft.com/office/drawing/2014/main" id="{447025B6-41B7-4939-89CB-8516CF7A1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75641" y="91142"/>
          <a:ext cx="2259325" cy="751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668D81A8-96A4-4CC8-AA2B-F3228B82C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51841" y="91142"/>
          <a:ext cx="2259325" cy="751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C914B6E9-7B17-4CD4-B62F-770404E9C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21F74B1A-3C51-42FE-93B8-E91434EAC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28DF3A5-D63C-4E36-868E-046C643F62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1C86811-9D2E-48C1-948B-2D36D9F41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B52F9AF4-2934-4F13-90D8-FC1D4477E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167"/>
  <sheetViews>
    <sheetView tabSelected="1" zoomScale="85" zoomScaleNormal="85" zoomScaleSheetLayoutView="85" zoomScalePageLayoutView="75" workbookViewId="0">
      <selection activeCell="L4" sqref="L4"/>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
        <v>220</v>
      </c>
    </row>
    <row r="3" spans="1:14" ht="24" customHeight="1" x14ac:dyDescent="0.2"/>
    <row r="4" spans="1:14" ht="24" customHeight="1" x14ac:dyDescent="0.2">
      <c r="A4" s="8"/>
      <c r="C4" s="32" t="s">
        <v>0</v>
      </c>
      <c r="D4" s="111" t="s">
        <v>6</v>
      </c>
      <c r="E4" s="111"/>
      <c r="F4" s="9"/>
      <c r="G4" s="32" t="s">
        <v>221</v>
      </c>
      <c r="H4" s="98" t="s">
        <v>133</v>
      </c>
      <c r="I4"/>
      <c r="K4" s="32" t="s">
        <v>1</v>
      </c>
      <c r="L4" s="31">
        <v>2</v>
      </c>
      <c r="N4" s="121" t="s">
        <v>231</v>
      </c>
    </row>
    <row r="5" spans="1:14" ht="24" customHeight="1" thickBot="1" x14ac:dyDescent="0.25">
      <c r="A5" s="8"/>
      <c r="C5" s="32" t="s">
        <v>68</v>
      </c>
      <c r="D5" s="112" t="s">
        <v>232</v>
      </c>
      <c r="E5" s="112"/>
      <c r="F5" s="9"/>
      <c r="N5" s="122"/>
    </row>
    <row r="6" spans="1:14" ht="24" customHeight="1" x14ac:dyDescent="0.2">
      <c r="A6" s="8"/>
      <c r="C6" s="32" t="s">
        <v>69</v>
      </c>
      <c r="D6" s="111" t="s">
        <v>233</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Circuit Criminal</v>
      </c>
      <c r="E8" s="10"/>
      <c r="F8" s="127" t="s">
        <v>137</v>
      </c>
      <c r="G8" s="127"/>
      <c r="H8" s="102">
        <f ca="1">INDEX(LookupData!AA3:AA12,MATCH(D8,LookupData!Z3:Z12,0))</f>
        <v>0.09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44201.15</v>
      </c>
      <c r="F13" s="53">
        <f ca="1">SUMIFS(LookupData!J$3:J$2682,LookupData!$A$3:$A$2682,$D$4,LookupData!$B$3:$B$2682,$D$8,LookupData!$C$3:$C$2682,$A12)</f>
        <v>66116.539999999994</v>
      </c>
      <c r="G13" s="53">
        <f ca="1">SUMIFS(LookupData!K$3:K$2682,LookupData!$A$3:$A$2682,$D$4,LookupData!$B$3:$B$2682,$D$8,LookupData!$C$3:$C$2682,$A12)</f>
        <v>86903.28</v>
      </c>
      <c r="H13" s="53">
        <f ca="1">SUMIFS(LookupData!L$3:L$2682,LookupData!$A$3:$A$2682,$D$4,LookupData!$B$3:$B$2682,$D$8,LookupData!$C$3:$C$2682,$A12)</f>
        <v>108429.11</v>
      </c>
      <c r="I13" s="43">
        <v>130043.32</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868377.19</v>
      </c>
      <c r="F14" s="55">
        <f ca="1">SUMIFS(LookupData!E$3:E$2682,LookupData!$A$3:$A$2682,$D$4,LookupData!$B$3:$B$2682,$D$8,LookupData!$C$3:$C$2682,$A12)</f>
        <v>863638.19</v>
      </c>
      <c r="G14" s="55">
        <f ca="1">SUMIFS(LookupData!F$3:F$2682,LookupData!$A$3:$A$2682,$D$4,LookupData!$B$3:$B$2682,$D$8,LookupData!$C$3:$C$2682,$A12)</f>
        <v>862569.19</v>
      </c>
      <c r="H14" s="55">
        <f ca="1">SUMIFS(LookupData!G$3:G$2682,LookupData!$A$3:$A$2682,$D$4,LookupData!$B$3:$B$2682,$D$8,LookupData!$C$3:$C$2682,$A12)</f>
        <v>861810.69</v>
      </c>
      <c r="I14" s="44">
        <v>861395.19</v>
      </c>
      <c r="J14" s="134"/>
      <c r="K14" s="134"/>
      <c r="L14" s="134"/>
      <c r="M14" s="124"/>
      <c r="N14" s="126"/>
    </row>
    <row r="15" spans="1:14" ht="19.5" customHeight="1" thickTop="1" thickBot="1" x14ac:dyDescent="0.25">
      <c r="A15" s="117"/>
      <c r="B15" s="118"/>
      <c r="C15" s="131" t="s">
        <v>152</v>
      </c>
      <c r="D15" s="132"/>
      <c r="E15" s="71">
        <f ca="1">IFERROR(IF(E14=0,1,ROUND(E13/E14,4)),0)</f>
        <v>5.0900000000000001E-2</v>
      </c>
      <c r="F15" s="77">
        <f t="shared" ref="F15:I15" ca="1" si="0">IFERROR(IF(F14=0,1,ROUND(F13/F14,4)),0)</f>
        <v>7.6600000000000001E-2</v>
      </c>
      <c r="G15" s="77">
        <f t="shared" ca="1" si="0"/>
        <v>0.1007</v>
      </c>
      <c r="H15" s="77">
        <f t="shared" ca="1" si="0"/>
        <v>0.1258</v>
      </c>
      <c r="I15" s="78">
        <f t="shared" si="0"/>
        <v>0.151</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40883.269999999997</v>
      </c>
      <c r="G17" s="53">
        <f ca="1">SUMIFS(LookupData!J$3:J$2682,LookupData!$A$3:$A$2682,$D$4,LookupData!$B$3:$B$2682,$D$8,LookupData!$C$3:$C$2682,$A16)</f>
        <v>63840.5</v>
      </c>
      <c r="H17" s="53">
        <f ca="1">SUMIFS(LookupData!K$3:K$2682,LookupData!$A$3:$A$2682,$D$4,LookupData!$B$3:$B$2682,$D$8,LookupData!$C$3:$C$2682,$A16)</f>
        <v>79916.13</v>
      </c>
      <c r="I17" s="30">
        <v>100892.2</v>
      </c>
      <c r="J17" s="43">
        <v>131783.85</v>
      </c>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1008424.44</v>
      </c>
      <c r="G18" s="55">
        <f ca="1">SUMIFS(LookupData!E$3:E$2682,LookupData!$A$3:$A$2682,$D$4,LookupData!$B$3:$B$2682,$D$8,LookupData!$C$3:$C$2682,$A16)</f>
        <v>1004094.44</v>
      </c>
      <c r="H18" s="55">
        <f ca="1">SUMIFS(LookupData!F$3:F$2682,LookupData!$A$3:$A$2682,$D$4,LookupData!$B$3:$B$2682,$D$8,LookupData!$C$3:$C$2682,$A16)</f>
        <v>1002590.94</v>
      </c>
      <c r="I18" s="38">
        <v>1002278.94</v>
      </c>
      <c r="J18" s="44">
        <v>1002016.94</v>
      </c>
      <c r="K18" s="148"/>
      <c r="L18" s="150"/>
      <c r="M18" s="159"/>
      <c r="N18" s="160"/>
    </row>
    <row r="19" spans="1:16" ht="20.25" customHeight="1" thickTop="1" thickBot="1" x14ac:dyDescent="0.25">
      <c r="A19" s="141"/>
      <c r="B19" s="142"/>
      <c r="C19" s="143" t="s">
        <v>152</v>
      </c>
      <c r="D19" s="144"/>
      <c r="E19" s="156"/>
      <c r="F19" s="73">
        <f ca="1">IFERROR(IF(F18=0,1,ROUND(F17/F18,4)),0)</f>
        <v>4.0500000000000001E-2</v>
      </c>
      <c r="G19" s="75">
        <f t="shared" ref="G19:J19" ca="1" si="1">IFERROR(IF(G18=0,1,ROUND(G17/G18,4)),0)</f>
        <v>6.3600000000000004E-2</v>
      </c>
      <c r="H19" s="75">
        <f t="shared" ca="1" si="1"/>
        <v>7.9699999999999993E-2</v>
      </c>
      <c r="I19" s="75">
        <f t="shared" si="1"/>
        <v>0.1007</v>
      </c>
      <c r="J19" s="76">
        <f t="shared" si="1"/>
        <v>0.13150000000000001</v>
      </c>
      <c r="K19" s="151"/>
      <c r="L19" s="153"/>
      <c r="M19" s="159"/>
      <c r="N19" s="160"/>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46107.49</v>
      </c>
      <c r="H21" s="53">
        <f ca="1">SUMIFS(LookupData!J$3:J$2682,LookupData!$A$3:$A$2682,$D$4,LookupData!$B$3:$B$2682,$D$8,LookupData!$C$3:$C$2682,$A20)</f>
        <v>64757.55</v>
      </c>
      <c r="I21" s="30">
        <v>81453.78</v>
      </c>
      <c r="J21" s="30">
        <v>113190.25</v>
      </c>
      <c r="K21" s="43">
        <v>138545.32</v>
      </c>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1133018.55</v>
      </c>
      <c r="H22" s="55">
        <f ca="1">SUMIFS(LookupData!E$3:E$2682,LookupData!$A$3:$A$2682,$D$4,LookupData!$B$3:$B$2682,$D$8,LookupData!$C$3:$C$2682,$A20)</f>
        <v>1128747.55</v>
      </c>
      <c r="I22" s="38">
        <v>1127971.55</v>
      </c>
      <c r="J22" s="38">
        <v>1127156.05</v>
      </c>
      <c r="K22" s="44">
        <v>1073971.05</v>
      </c>
      <c r="L22" s="148"/>
      <c r="M22" s="159"/>
      <c r="N22" s="160"/>
    </row>
    <row r="23" spans="1:16" ht="20.25" customHeight="1" thickTop="1" thickBot="1" x14ac:dyDescent="0.25">
      <c r="A23" s="117"/>
      <c r="B23" s="118"/>
      <c r="C23" s="131" t="s">
        <v>152</v>
      </c>
      <c r="D23" s="132"/>
      <c r="E23" s="157"/>
      <c r="F23" s="158"/>
      <c r="G23" s="71">
        <f t="shared" ref="G23:K23" ca="1" si="2">IFERROR(IF(G22=0,1,ROUND(G21/G22,4)),0)</f>
        <v>4.07E-2</v>
      </c>
      <c r="H23" s="77">
        <f t="shared" ca="1" si="2"/>
        <v>5.74E-2</v>
      </c>
      <c r="I23" s="77">
        <f t="shared" si="2"/>
        <v>7.22E-2</v>
      </c>
      <c r="J23" s="77">
        <f t="shared" si="2"/>
        <v>0.1004</v>
      </c>
      <c r="K23" s="78">
        <f t="shared" si="2"/>
        <v>0.129</v>
      </c>
      <c r="L23" s="148"/>
      <c r="M23" s="159"/>
      <c r="N23" s="160"/>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47326.28</v>
      </c>
      <c r="I25" s="30">
        <v>68790.47</v>
      </c>
      <c r="J25" s="30">
        <v>100158.57</v>
      </c>
      <c r="K25" s="30">
        <v>119592.27</v>
      </c>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1170775.79</v>
      </c>
      <c r="I26" s="38">
        <v>1165331.79</v>
      </c>
      <c r="J26" s="38">
        <v>1164564.29</v>
      </c>
      <c r="K26" s="38">
        <v>1163902.29</v>
      </c>
      <c r="L26" s="44"/>
      <c r="M26" s="161"/>
      <c r="N26" s="163"/>
      <c r="O26"/>
      <c r="P26"/>
    </row>
    <row r="27" spans="1:16" ht="20.25" customHeight="1" thickTop="1" thickBot="1" x14ac:dyDescent="0.25">
      <c r="A27" s="141"/>
      <c r="B27" s="142"/>
      <c r="C27" s="143" t="s">
        <v>152</v>
      </c>
      <c r="D27" s="144"/>
      <c r="E27" s="151"/>
      <c r="F27" s="152"/>
      <c r="G27" s="153"/>
      <c r="H27" s="73">
        <f t="shared" ref="H27:L27" ca="1" si="3">IFERROR(IF(H26=0,1,ROUND(H25/H26,4)),0)</f>
        <v>4.0399999999999998E-2</v>
      </c>
      <c r="I27" s="75">
        <f t="shared" si="3"/>
        <v>5.8999999999999997E-2</v>
      </c>
      <c r="J27" s="75">
        <f t="shared" si="3"/>
        <v>8.5999999999999993E-2</v>
      </c>
      <c r="K27" s="75">
        <f t="shared" si="3"/>
        <v>0.1028</v>
      </c>
      <c r="L27" s="76">
        <f t="shared" si="3"/>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42628.2</v>
      </c>
      <c r="J29" s="30">
        <v>63175.43</v>
      </c>
      <c r="K29" s="30">
        <v>86017.35</v>
      </c>
      <c r="L29" s="43"/>
      <c r="M29" s="157"/>
      <c r="N29" s="191"/>
      <c r="O29"/>
      <c r="P29"/>
    </row>
    <row r="30" spans="1:16" ht="20.25" customHeight="1" thickBot="1" x14ac:dyDescent="0.25">
      <c r="A30" s="115"/>
      <c r="B30" s="116"/>
      <c r="C30" s="131" t="s">
        <v>151</v>
      </c>
      <c r="D30" s="132"/>
      <c r="E30" s="148"/>
      <c r="F30" s="149"/>
      <c r="G30" s="149"/>
      <c r="H30" s="150"/>
      <c r="I30" s="37">
        <v>1268761.2</v>
      </c>
      <c r="J30" s="38">
        <v>1262685.7</v>
      </c>
      <c r="K30" s="38">
        <v>1262320.2</v>
      </c>
      <c r="L30" s="44"/>
      <c r="M30" s="192"/>
      <c r="N30" s="193"/>
      <c r="O30"/>
      <c r="P30"/>
    </row>
    <row r="31" spans="1:16" ht="20.25" customHeight="1" thickTop="1" thickBot="1" x14ac:dyDescent="0.25">
      <c r="A31" s="117"/>
      <c r="B31" s="118"/>
      <c r="C31" s="143" t="s">
        <v>152</v>
      </c>
      <c r="D31" s="144"/>
      <c r="E31" s="151"/>
      <c r="F31" s="152"/>
      <c r="G31" s="152"/>
      <c r="H31" s="153"/>
      <c r="I31" s="73">
        <f t="shared" ref="I31:L31" si="4">IFERROR(IF(I30=0,1,ROUND(I29/I30,4)),0)</f>
        <v>3.3599999999999998E-2</v>
      </c>
      <c r="J31" s="75">
        <f t="shared" si="4"/>
        <v>0.05</v>
      </c>
      <c r="K31" s="75">
        <f t="shared" si="4"/>
        <v>6.8099999999999994E-2</v>
      </c>
      <c r="L31" s="74">
        <f t="shared" si="4"/>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43634.83</v>
      </c>
      <c r="K33" s="30">
        <v>67205.59</v>
      </c>
      <c r="L33" s="48"/>
      <c r="M33" s="181"/>
      <c r="N33" s="182"/>
      <c r="O33"/>
      <c r="P33"/>
    </row>
    <row r="34" spans="1:16" ht="20.25" customHeight="1" thickBot="1" x14ac:dyDescent="0.25">
      <c r="A34" s="139"/>
      <c r="B34" s="140"/>
      <c r="C34" s="131" t="s">
        <v>151</v>
      </c>
      <c r="D34" s="132"/>
      <c r="E34" s="148"/>
      <c r="F34" s="149"/>
      <c r="G34" s="149"/>
      <c r="H34" s="149"/>
      <c r="I34" s="150"/>
      <c r="J34" s="37">
        <v>1293894.45</v>
      </c>
      <c r="K34" s="38">
        <v>1289040.45</v>
      </c>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5">IFERROR(IF(J34=0,1,ROUND(J33/J34,4)),0)</f>
        <v>3.3700000000000001E-2</v>
      </c>
      <c r="K35" s="75">
        <f t="shared" si="5"/>
        <v>5.21E-2</v>
      </c>
      <c r="L35" s="74">
        <f t="shared" si="5"/>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v>42614.15</v>
      </c>
      <c r="L37" s="30"/>
      <c r="M37" s="187"/>
      <c r="N37" s="188"/>
      <c r="O37"/>
      <c r="P37"/>
    </row>
    <row r="38" spans="1:16" ht="20.25" customHeight="1" thickBot="1" x14ac:dyDescent="0.25">
      <c r="A38" s="115"/>
      <c r="B38" s="116"/>
      <c r="C38" s="131" t="s">
        <v>151</v>
      </c>
      <c r="D38" s="132"/>
      <c r="E38" s="148"/>
      <c r="F38" s="149"/>
      <c r="G38" s="149"/>
      <c r="H38" s="149"/>
      <c r="I38" s="149"/>
      <c r="J38" s="150"/>
      <c r="K38" s="37">
        <v>891894.26</v>
      </c>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6">IFERROR(IF(K38=0,1,ROUND(K37/K38,4)),0)</f>
        <v>4.7800000000000002E-2</v>
      </c>
      <c r="L39" s="74">
        <f t="shared" si="6"/>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54" customHeight="1" x14ac:dyDescent="0.3">
      <c r="B45" s="165" t="s">
        <v>162</v>
      </c>
      <c r="C45" s="165"/>
      <c r="D45" s="175" t="s">
        <v>169</v>
      </c>
      <c r="E45" s="175"/>
      <c r="F45" s="175"/>
      <c r="G45" s="175"/>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jKk60/fHmvZ1nO2G7HQsrtnK5BIJI7BxbPZfTvYKY0E7masZ4YY2yAw2ELk4d8J+VeOE/xxnac8/QWWFexplUQ==" saltValue="0pGgWxGQJfCu6bd78k3nCw==" spinCount="100000" sheet="1" formatColumns="0" formatRows="0" selectLockedCells="1"/>
  <mergeCells count="81">
    <mergeCell ref="B45:C45"/>
    <mergeCell ref="M31:N31"/>
    <mergeCell ref="J6:N6"/>
    <mergeCell ref="K7:N7"/>
    <mergeCell ref="K8:N8"/>
    <mergeCell ref="D45:G45"/>
    <mergeCell ref="H45:K45"/>
    <mergeCell ref="M32:N32"/>
    <mergeCell ref="M35:N35"/>
    <mergeCell ref="M38:N38"/>
    <mergeCell ref="M41:N41"/>
    <mergeCell ref="M33:N34"/>
    <mergeCell ref="M36:N37"/>
    <mergeCell ref="M42:N43"/>
    <mergeCell ref="M39:N40"/>
    <mergeCell ref="M28:N30"/>
    <mergeCell ref="M16:M19"/>
    <mergeCell ref="N16:N19"/>
    <mergeCell ref="M20:M23"/>
    <mergeCell ref="N20:N23"/>
    <mergeCell ref="M24:M27"/>
    <mergeCell ref="N24:N27"/>
    <mergeCell ref="A40:B43"/>
    <mergeCell ref="C40:D40"/>
    <mergeCell ref="C41:D41"/>
    <mergeCell ref="C42:D42"/>
    <mergeCell ref="C43:D43"/>
    <mergeCell ref="E16:E19"/>
    <mergeCell ref="E20:F23"/>
    <mergeCell ref="E24:G27"/>
    <mergeCell ref="E28:H31"/>
    <mergeCell ref="E32:I35"/>
    <mergeCell ref="E36:J39"/>
    <mergeCell ref="E40:K43"/>
    <mergeCell ref="K16:L19"/>
    <mergeCell ref="L20:L23"/>
    <mergeCell ref="A32:B35"/>
    <mergeCell ref="C32:D32"/>
    <mergeCell ref="C33:D33"/>
    <mergeCell ref="C34:D34"/>
    <mergeCell ref="C35:D35"/>
    <mergeCell ref="A36:B39"/>
    <mergeCell ref="C36:D36"/>
    <mergeCell ref="C37:D37"/>
    <mergeCell ref="C38:D38"/>
    <mergeCell ref="C39:D39"/>
    <mergeCell ref="A24:B27"/>
    <mergeCell ref="C24:D24"/>
    <mergeCell ref="C25:D25"/>
    <mergeCell ref="C26:D26"/>
    <mergeCell ref="C27:D27"/>
    <mergeCell ref="A28:B31"/>
    <mergeCell ref="C28:D28"/>
    <mergeCell ref="C29:D29"/>
    <mergeCell ref="C30:D30"/>
    <mergeCell ref="C31:D31"/>
    <mergeCell ref="A16:B19"/>
    <mergeCell ref="C16:D16"/>
    <mergeCell ref="C17:D17"/>
    <mergeCell ref="C18:D18"/>
    <mergeCell ref="C19:D19"/>
    <mergeCell ref="A20:B23"/>
    <mergeCell ref="C20:D20"/>
    <mergeCell ref="C21:D21"/>
    <mergeCell ref="C22:D22"/>
    <mergeCell ref="C23:D23"/>
    <mergeCell ref="D4:E4"/>
    <mergeCell ref="D5:E5"/>
    <mergeCell ref="A12:B15"/>
    <mergeCell ref="C12:D12"/>
    <mergeCell ref="N4:N5"/>
    <mergeCell ref="M12:M15"/>
    <mergeCell ref="N12:N15"/>
    <mergeCell ref="D6:E6"/>
    <mergeCell ref="A8:C8"/>
    <mergeCell ref="F8:G8"/>
    <mergeCell ref="M10:N10"/>
    <mergeCell ref="C13:D13"/>
    <mergeCell ref="C14:D14"/>
    <mergeCell ref="C15:D15"/>
    <mergeCell ref="J12:L15"/>
  </mergeCells>
  <conditionalFormatting sqref="F14:I14">
    <cfRule type="expression" dxfId="189" priority="24">
      <formula>F14&gt;(MIN($E14:E14))</formula>
    </cfRule>
  </conditionalFormatting>
  <conditionalFormatting sqref="F13:I13">
    <cfRule type="expression" dxfId="188" priority="23">
      <formula>F13&lt;(MAX($E13:E13))</formula>
    </cfRule>
  </conditionalFormatting>
  <conditionalFormatting sqref="G17:J17">
    <cfRule type="expression" dxfId="187" priority="22">
      <formula>G17&lt;(MAX($F17:F17))</formula>
    </cfRule>
  </conditionalFormatting>
  <conditionalFormatting sqref="G18:J18">
    <cfRule type="expression" dxfId="186" priority="21">
      <formula>G18&gt;(MIN($F18:F18))</formula>
    </cfRule>
  </conditionalFormatting>
  <conditionalFormatting sqref="H22:K22">
    <cfRule type="expression" dxfId="185" priority="19">
      <formula>H22&gt;(MIN($G22:G22))</formula>
    </cfRule>
  </conditionalFormatting>
  <conditionalFormatting sqref="H21:K21">
    <cfRule type="expression" dxfId="184" priority="18">
      <formula>H21&lt;(MAX($G21:G21))</formula>
    </cfRule>
  </conditionalFormatting>
  <conditionalFormatting sqref="I26:L26">
    <cfRule type="expression" dxfId="183" priority="17">
      <formula>I26&gt;(MIN($H26:H26))</formula>
    </cfRule>
  </conditionalFormatting>
  <conditionalFormatting sqref="I25:L25">
    <cfRule type="expression" dxfId="182" priority="16">
      <formula>I25&lt;(MAX($H25:H25))</formula>
    </cfRule>
  </conditionalFormatting>
  <conditionalFormatting sqref="J30:L30">
    <cfRule type="expression" dxfId="181" priority="15">
      <formula>J30&gt;(MIN($I30:I30))</formula>
    </cfRule>
  </conditionalFormatting>
  <conditionalFormatting sqref="J29:L29">
    <cfRule type="expression" dxfId="180" priority="14">
      <formula>J29&lt;(MAX($I29:I29))</formula>
    </cfRule>
  </conditionalFormatting>
  <conditionalFormatting sqref="K34:L34">
    <cfRule type="expression" dxfId="179" priority="13">
      <formula>K34&gt;(MIN($J34:J34))</formula>
    </cfRule>
  </conditionalFormatting>
  <conditionalFormatting sqref="K33:L33">
    <cfRule type="expression" dxfId="178" priority="12">
      <formula>K33&lt;(MAX($J33:J33))</formula>
    </cfRule>
  </conditionalFormatting>
  <conditionalFormatting sqref="L38">
    <cfRule type="expression" dxfId="177" priority="11">
      <formula>L38&gt;(MIN($G38:K38))</formula>
    </cfRule>
  </conditionalFormatting>
  <conditionalFormatting sqref="L37">
    <cfRule type="expression" dxfId="176" priority="10">
      <formula>L37&lt;(MAX($K37:K37))</formula>
    </cfRule>
  </conditionalFormatting>
  <conditionalFormatting sqref="I15 J19 K23 L27">
    <cfRule type="expression" dxfId="175" priority="9">
      <formula>I15&lt;$H$8</formula>
    </cfRule>
  </conditionalFormatting>
  <conditionalFormatting sqref="M16:N19">
    <cfRule type="expression" dxfId="174" priority="4">
      <formula>$J$19&lt;$H$8</formula>
    </cfRule>
  </conditionalFormatting>
  <conditionalFormatting sqref="M20:N23">
    <cfRule type="expression" dxfId="173" priority="3">
      <formula>$K$23&lt;$H$8</formula>
    </cfRule>
  </conditionalFormatting>
  <conditionalFormatting sqref="M24:N27">
    <cfRule type="expression" dxfId="172" priority="2">
      <formula>$L$27&lt;$H$8</formula>
    </cfRule>
  </conditionalFormatting>
  <conditionalFormatting sqref="M12:N15">
    <cfRule type="expression" dxfId="171"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LookupData!$T$3:$T$12</xm:f>
          </x14:formula1>
          <xm:sqref>L4</xm:sqref>
        </x14:dataValidation>
        <x14:dataValidation type="list" allowBlank="1" showInputMessage="1" showErrorMessage="1">
          <x14:formula1>
            <xm:f>LookupData!$S$3:$S$69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85" zoomScaleNormal="85" zoomScaleSheetLayoutView="75" zoomScalePageLayoutView="75" workbookViewId="0">
      <selection activeCell="L25" sqref="L2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3: Apr - Jun</v>
      </c>
      <c r="I4"/>
      <c r="K4" s="32" t="s">
        <v>1</v>
      </c>
      <c r="L4" s="79">
        <f>'Circuit Criminal'!L4</f>
        <v>2</v>
      </c>
      <c r="N4" s="121" t="str">
        <f>'Circuit Criminal'!N4</f>
        <v>CCOC Form Version 2
Revised 1/18/19</v>
      </c>
    </row>
    <row r="5" spans="1:14" ht="24" customHeight="1" thickBot="1" x14ac:dyDescent="0.25">
      <c r="A5" s="8"/>
      <c r="C5" s="32" t="s">
        <v>68</v>
      </c>
      <c r="D5" s="112" t="str">
        <f>'Circuit Criminal'!D5</f>
        <v>Michelle Levar</v>
      </c>
      <c r="E5" s="112"/>
      <c r="F5" s="9"/>
      <c r="N5" s="122"/>
    </row>
    <row r="6" spans="1:14" ht="24" customHeight="1" x14ac:dyDescent="0.2">
      <c r="A6" s="8"/>
      <c r="C6" s="32" t="s">
        <v>69</v>
      </c>
      <c r="D6" s="111" t="str">
        <f>'Circuit Criminal'!D6</f>
        <v>michell.levar@brevardclerk.us</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Civil Traffic</v>
      </c>
      <c r="E8" s="10"/>
      <c r="F8" s="127" t="s">
        <v>137</v>
      </c>
      <c r="G8" s="127"/>
      <c r="H8" s="102">
        <f ca="1">INDEX(LookupData!AA3:AA12,MATCH(D8,LookupData!Z3:Z12,0))</f>
        <v>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t="s">
        <v>155</v>
      </c>
      <c r="N12" s="125" t="s">
        <v>234</v>
      </c>
    </row>
    <row r="13" spans="1:14" ht="19.5" customHeight="1" x14ac:dyDescent="0.2">
      <c r="A13" s="115"/>
      <c r="B13" s="116"/>
      <c r="C13" s="131" t="s">
        <v>150</v>
      </c>
      <c r="D13" s="132"/>
      <c r="E13" s="52">
        <f ca="1">SUMIFS(LookupData!I$3:I$2682,LookupData!$A$3:$A$2682,$D$4,LookupData!$B$3:$B$2682,$D$8,LookupData!$C$3:$C$2682,$A12)</f>
        <v>752557.11</v>
      </c>
      <c r="F13" s="53">
        <f ca="1">SUMIFS(LookupData!J$3:J$2682,LookupData!$A$3:$A$2682,$D$4,LookupData!$B$3:$B$2682,$D$8,LookupData!$C$3:$C$2682,$A12)</f>
        <v>1126100.83</v>
      </c>
      <c r="G13" s="53">
        <f ca="1">SUMIFS(LookupData!K$3:K$2682,LookupData!$A$3:$A$2682,$D$4,LookupData!$B$3:$B$2682,$D$8,LookupData!$C$3:$C$2682,$A12)</f>
        <v>1212088.6399999999</v>
      </c>
      <c r="H13" s="53">
        <f ca="1">SUMIFS(LookupData!L$3:L$2682,LookupData!$A$3:$A$2682,$D$4,LookupData!$B$3:$B$2682,$D$8,LookupData!$C$3:$C$2682,$A12)</f>
        <v>1236547.54</v>
      </c>
      <c r="I13" s="43">
        <v>1249798.93</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1484834.12</v>
      </c>
      <c r="F14" s="55">
        <f ca="1">SUMIFS(LookupData!E$3:E$2682,LookupData!$A$3:$A$2682,$D$4,LookupData!$B$3:$B$2682,$D$8,LookupData!$C$3:$C$2682,$A12)</f>
        <v>1409199.3</v>
      </c>
      <c r="G14" s="55">
        <f ca="1">SUMIFS(LookupData!F$3:F$2682,LookupData!$A$3:$A$2682,$D$4,LookupData!$B$3:$B$2682,$D$8,LookupData!$C$3:$C$2682,$A12)</f>
        <v>1403587.3</v>
      </c>
      <c r="H14" s="55">
        <f ca="1">SUMIFS(LookupData!G$3:G$2682,LookupData!$A$3:$A$2682,$D$4,LookupData!$B$3:$B$2682,$D$8,LookupData!$C$3:$C$2682,$A12)</f>
        <v>1402955.3</v>
      </c>
      <c r="I14" s="44">
        <v>1402770.3</v>
      </c>
      <c r="J14" s="134"/>
      <c r="K14" s="134"/>
      <c r="L14" s="134"/>
      <c r="M14" s="124"/>
      <c r="N14" s="126"/>
    </row>
    <row r="15" spans="1:14" ht="19.5" customHeight="1" thickTop="1" thickBot="1" x14ac:dyDescent="0.25">
      <c r="A15" s="117"/>
      <c r="B15" s="118"/>
      <c r="C15" s="131" t="s">
        <v>152</v>
      </c>
      <c r="D15" s="132"/>
      <c r="E15" s="71">
        <f ca="1">IFERROR(IF(E14=0,1,ROUND(E13/E14,4)),0)</f>
        <v>0.50680000000000003</v>
      </c>
      <c r="F15" s="77">
        <f t="shared" ref="F15:H15" ca="1" si="0">IFERROR(IF(F14=0,1,ROUND(F13/F14,4)),0)</f>
        <v>0.79910000000000003</v>
      </c>
      <c r="G15" s="77">
        <f t="shared" ca="1" si="0"/>
        <v>0.86360000000000003</v>
      </c>
      <c r="H15" s="77">
        <f t="shared" ca="1" si="0"/>
        <v>0.88139999999999996</v>
      </c>
      <c r="I15" s="78">
        <f t="shared" ref="I15" si="1">IFERROR(IF(I14=0,1,ROUND(I13/I14,4)),0)</f>
        <v>0.89100000000000001</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t="s">
        <v>155</v>
      </c>
      <c r="N16" s="125" t="s">
        <v>234</v>
      </c>
    </row>
    <row r="17" spans="1:16" ht="20.25" customHeight="1" x14ac:dyDescent="0.2">
      <c r="A17" s="139"/>
      <c r="B17" s="140"/>
      <c r="C17" s="131" t="s">
        <v>150</v>
      </c>
      <c r="D17" s="132"/>
      <c r="E17" s="155"/>
      <c r="F17" s="52">
        <f ca="1">SUMIFS(LookupData!I$3:I$2682,LookupData!$A$3:$A$2682,$D$4,LookupData!$B$3:$B$2682,$D$8,LookupData!$C$3:$C$2682,$A16)</f>
        <v>829674.5</v>
      </c>
      <c r="G17" s="53">
        <f ca="1">SUMIFS(LookupData!J$3:J$2682,LookupData!$A$3:$A$2682,$D$4,LookupData!$B$3:$B$2682,$D$8,LookupData!$C$3:$C$2682,$A16)</f>
        <v>1168713.8899999999</v>
      </c>
      <c r="H17" s="53">
        <f ca="1">SUMIFS(LookupData!K$3:K$2682,LookupData!$A$3:$A$2682,$D$4,LookupData!$B$3:$B$2682,$D$8,LookupData!$C$3:$C$2682,$A16)</f>
        <v>1236962.57</v>
      </c>
      <c r="I17" s="30">
        <v>1255790.32</v>
      </c>
      <c r="J17" s="43">
        <v>1277339.6399999999</v>
      </c>
      <c r="K17" s="148"/>
      <c r="L17" s="150"/>
      <c r="M17" s="159"/>
      <c r="N17" s="126"/>
    </row>
    <row r="18" spans="1:16" ht="20.25" customHeight="1" thickBot="1" x14ac:dyDescent="0.25">
      <c r="A18" s="139"/>
      <c r="B18" s="140"/>
      <c r="C18" s="131" t="s">
        <v>151</v>
      </c>
      <c r="D18" s="132"/>
      <c r="E18" s="155"/>
      <c r="F18" s="54">
        <f ca="1">SUMIFS(LookupData!D$3:D$2682,LookupData!$A$3:$A$2682,$D$4,LookupData!$B$3:$B$2682,$D$8,LookupData!$C$3:$C$2682,$A16)</f>
        <v>1496952.87</v>
      </c>
      <c r="G18" s="55">
        <f ca="1">SUMIFS(LookupData!E$3:E$2682,LookupData!$A$3:$A$2682,$D$4,LookupData!$B$3:$B$2682,$D$8,LookupData!$C$3:$C$2682,$A16)</f>
        <v>1426114.25</v>
      </c>
      <c r="H18" s="55">
        <f ca="1">SUMIFS(LookupData!F$3:F$2682,LookupData!$A$3:$A$2682,$D$4,LookupData!$B$3:$B$2682,$D$8,LookupData!$C$3:$C$2682,$A16)</f>
        <v>1421451.25</v>
      </c>
      <c r="I18" s="38">
        <v>1420973.25</v>
      </c>
      <c r="J18" s="44">
        <v>1420518.25</v>
      </c>
      <c r="K18" s="148"/>
      <c r="L18" s="150"/>
      <c r="M18" s="159"/>
      <c r="N18" s="126"/>
    </row>
    <row r="19" spans="1:16" ht="20.25" customHeight="1" thickTop="1" thickBot="1" x14ac:dyDescent="0.25">
      <c r="A19" s="141"/>
      <c r="B19" s="142"/>
      <c r="C19" s="143" t="s">
        <v>152</v>
      </c>
      <c r="D19" s="144"/>
      <c r="E19" s="156"/>
      <c r="F19" s="73">
        <f ca="1">IFERROR(IF(F18=0,1,ROUND(F17/F18,4)),0)</f>
        <v>0.55420000000000003</v>
      </c>
      <c r="G19" s="75">
        <f t="shared" ref="G19:H19" ca="1" si="2">IFERROR(IF(G18=0,1,ROUND(G17/G18,4)),0)</f>
        <v>0.81950000000000001</v>
      </c>
      <c r="H19" s="75">
        <f t="shared" ca="1" si="2"/>
        <v>0.87019999999999997</v>
      </c>
      <c r="I19" s="75">
        <f t="shared" ref="I19:J19" si="3">IFERROR(IF(I18=0,1,ROUND(I17/I18,4)),0)</f>
        <v>0.88380000000000003</v>
      </c>
      <c r="J19" s="76">
        <f t="shared" si="3"/>
        <v>0.8992</v>
      </c>
      <c r="K19" s="151"/>
      <c r="L19" s="153"/>
      <c r="M19" s="159"/>
      <c r="N19" s="126"/>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t="s">
        <v>155</v>
      </c>
      <c r="N20" s="125" t="s">
        <v>234</v>
      </c>
    </row>
    <row r="21" spans="1:16" ht="20.25" customHeight="1" x14ac:dyDescent="0.2">
      <c r="A21" s="115"/>
      <c r="B21" s="116"/>
      <c r="C21" s="131" t="s">
        <v>150</v>
      </c>
      <c r="D21" s="132"/>
      <c r="E21" s="157"/>
      <c r="F21" s="158"/>
      <c r="G21" s="52">
        <f ca="1">SUMIFS(LookupData!I$3:I$2682,LookupData!$A$3:$A$2682,$D$4,LookupData!$B$3:$B$2682,$D$8,LookupData!$C$3:$C$2682,$A20)</f>
        <v>911383.73</v>
      </c>
      <c r="H21" s="53">
        <f ca="1">SUMIFS(LookupData!J$3:J$2682,LookupData!$A$3:$A$2682,$D$4,LookupData!$B$3:$B$2682,$D$8,LookupData!$C$3:$C$2682,$A20)</f>
        <v>1330479.17</v>
      </c>
      <c r="I21" s="30">
        <v>1415762.95</v>
      </c>
      <c r="J21" s="30">
        <v>1462203.86</v>
      </c>
      <c r="K21" s="43">
        <v>1481271.83</v>
      </c>
      <c r="L21" s="148"/>
      <c r="M21" s="159"/>
      <c r="N21" s="126"/>
    </row>
    <row r="22" spans="1:16" ht="20.25" customHeight="1" thickBot="1" x14ac:dyDescent="0.25">
      <c r="A22" s="115"/>
      <c r="B22" s="116"/>
      <c r="C22" s="131" t="s">
        <v>151</v>
      </c>
      <c r="D22" s="132"/>
      <c r="E22" s="157"/>
      <c r="F22" s="158"/>
      <c r="G22" s="54">
        <f ca="1">SUMIFS(LookupData!D$3:D$2682,LookupData!$A$3:$A$2682,$D$4,LookupData!$B$3:$B$2682,$D$8,LookupData!$C$3:$C$2682,$A20)</f>
        <v>1749833.45</v>
      </c>
      <c r="H22" s="55">
        <f ca="1">SUMIFS(LookupData!E$3:E$2682,LookupData!$A$3:$A$2682,$D$4,LookupData!$B$3:$B$2682,$D$8,LookupData!$C$3:$C$2682,$A20)</f>
        <v>1670949.4</v>
      </c>
      <c r="I22" s="38">
        <v>1665018.4</v>
      </c>
      <c r="J22" s="38">
        <v>1665562.4</v>
      </c>
      <c r="K22" s="44">
        <v>1665562.4</v>
      </c>
      <c r="L22" s="148"/>
      <c r="M22" s="159"/>
      <c r="N22" s="126"/>
    </row>
    <row r="23" spans="1:16" ht="20.25" customHeight="1" thickTop="1" thickBot="1" x14ac:dyDescent="0.25">
      <c r="A23" s="117"/>
      <c r="B23" s="118"/>
      <c r="C23" s="131" t="s">
        <v>152</v>
      </c>
      <c r="D23" s="132"/>
      <c r="E23" s="157"/>
      <c r="F23" s="158"/>
      <c r="G23" s="71">
        <f t="shared" ref="G23:H23" ca="1" si="4">IFERROR(IF(G22=0,1,ROUND(G21/G22,4)),0)</f>
        <v>0.52080000000000004</v>
      </c>
      <c r="H23" s="77">
        <f t="shared" ca="1" si="4"/>
        <v>0.79620000000000002</v>
      </c>
      <c r="I23" s="77">
        <f t="shared" ref="I23:K23" si="5">IFERROR(IF(I22=0,1,ROUND(I21/I22,4)),0)</f>
        <v>0.85029999999999994</v>
      </c>
      <c r="J23" s="77">
        <f t="shared" si="5"/>
        <v>0.87790000000000001</v>
      </c>
      <c r="K23" s="78">
        <f t="shared" si="5"/>
        <v>0.88939999999999997</v>
      </c>
      <c r="L23" s="148"/>
      <c r="M23" s="159"/>
      <c r="N23" s="126"/>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831184.56</v>
      </c>
      <c r="I25" s="30">
        <v>840502.56</v>
      </c>
      <c r="J25" s="30">
        <v>1295094.51</v>
      </c>
      <c r="K25" s="30">
        <v>1326099.3700000001</v>
      </c>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1606456.85</v>
      </c>
      <c r="I26" s="38">
        <v>1532823</v>
      </c>
      <c r="J26" s="38">
        <v>1525808</v>
      </c>
      <c r="K26" s="38">
        <v>1522333</v>
      </c>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0.51739999999999997</v>
      </c>
      <c r="I27" s="75">
        <f t="shared" ref="I27:L27" si="7">IFERROR(IF(I26=0,1,ROUND(I25/I26,4)),0)</f>
        <v>0.54830000000000001</v>
      </c>
      <c r="J27" s="75">
        <f t="shared" si="7"/>
        <v>0.8488</v>
      </c>
      <c r="K27" s="75">
        <f t="shared" si="7"/>
        <v>0.87109999999999999</v>
      </c>
      <c r="L27" s="76">
        <f t="shared" si="7"/>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674256.37</v>
      </c>
      <c r="J29" s="30">
        <v>1021917.7</v>
      </c>
      <c r="K29" s="30">
        <v>1088118.19</v>
      </c>
      <c r="L29" s="43"/>
      <c r="M29" s="157"/>
      <c r="N29" s="191"/>
      <c r="O29"/>
      <c r="P29"/>
    </row>
    <row r="30" spans="1:16" ht="20.25" customHeight="1" thickBot="1" x14ac:dyDescent="0.25">
      <c r="A30" s="115"/>
      <c r="B30" s="116"/>
      <c r="C30" s="131" t="s">
        <v>151</v>
      </c>
      <c r="D30" s="132"/>
      <c r="E30" s="148"/>
      <c r="F30" s="149"/>
      <c r="G30" s="149"/>
      <c r="H30" s="150"/>
      <c r="I30" s="37">
        <v>1334636.7</v>
      </c>
      <c r="J30" s="38">
        <v>1273091.2</v>
      </c>
      <c r="K30" s="38">
        <v>1268698.2</v>
      </c>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0.50519999999999998</v>
      </c>
      <c r="J31" s="75">
        <f t="shared" si="8"/>
        <v>0.80269999999999997</v>
      </c>
      <c r="K31" s="75">
        <f t="shared" si="8"/>
        <v>0.85770000000000002</v>
      </c>
      <c r="L31" s="74">
        <f t="shared" si="8"/>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853729.5</v>
      </c>
      <c r="K33" s="30">
        <v>1265723.8999999999</v>
      </c>
      <c r="L33" s="48"/>
      <c r="M33" s="181"/>
      <c r="N33" s="182"/>
      <c r="O33"/>
      <c r="P33"/>
    </row>
    <row r="34" spans="1:16" ht="20.25" customHeight="1" thickBot="1" x14ac:dyDescent="0.25">
      <c r="A34" s="139"/>
      <c r="B34" s="140"/>
      <c r="C34" s="131" t="s">
        <v>151</v>
      </c>
      <c r="D34" s="132"/>
      <c r="E34" s="148"/>
      <c r="F34" s="149"/>
      <c r="G34" s="149"/>
      <c r="H34" s="149"/>
      <c r="I34" s="150"/>
      <c r="J34" s="37">
        <v>1615893.3</v>
      </c>
      <c r="K34" s="38">
        <v>1539153.25</v>
      </c>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0.52829999999999999</v>
      </c>
      <c r="K35" s="75">
        <f t="shared" si="9"/>
        <v>0.82240000000000002</v>
      </c>
      <c r="L35" s="74">
        <f t="shared" si="9"/>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v>807387.95</v>
      </c>
      <c r="L37" s="30"/>
      <c r="M37" s="187"/>
      <c r="N37" s="188"/>
      <c r="O37"/>
      <c r="P37"/>
    </row>
    <row r="38" spans="1:16" ht="20.25" customHeight="1" thickBot="1" x14ac:dyDescent="0.25">
      <c r="A38" s="115"/>
      <c r="B38" s="116"/>
      <c r="C38" s="131" t="s">
        <v>151</v>
      </c>
      <c r="D38" s="132"/>
      <c r="E38" s="148"/>
      <c r="F38" s="149"/>
      <c r="G38" s="149"/>
      <c r="H38" s="149"/>
      <c r="I38" s="149"/>
      <c r="J38" s="150"/>
      <c r="K38" s="37">
        <v>1603833.15</v>
      </c>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0.50339999999999996</v>
      </c>
      <c r="L39" s="74">
        <f t="shared" si="10"/>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6/AQOu9Zia2VWQujjG14JEEPZXXif5CXYGsSlKRa3PbPl2rAU2PseHic1zwCp5TEJoR9vD6Z/u6OLAT4cROvZA==" saltValue="VgxV0JNdZIV9lp4WbBu6aA=="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M16:M19">
    <cfRule type="expression" dxfId="22" priority="21">
      <formula>$J$19&lt;$H$8</formula>
    </cfRule>
  </conditionalFormatting>
  <conditionalFormatting sqref="M20:M23">
    <cfRule type="expression" dxfId="21" priority="20">
      <formula>$K$23&lt;$H$8</formula>
    </cfRule>
  </conditionalFormatting>
  <conditionalFormatting sqref="M24:N27">
    <cfRule type="expression" dxfId="20" priority="19">
      <formula>$L$27&lt;$H$8</formula>
    </cfRule>
  </conditionalFormatting>
  <conditionalFormatting sqref="F14:I14">
    <cfRule type="expression" dxfId="19" priority="18">
      <formula>F14&gt;(MIN($E14:E14))</formula>
    </cfRule>
  </conditionalFormatting>
  <conditionalFormatting sqref="F13:I13">
    <cfRule type="expression" dxfId="18" priority="17">
      <formula>F13&lt;(MAX($E13:E13))</formula>
    </cfRule>
  </conditionalFormatting>
  <conditionalFormatting sqref="G17:J17">
    <cfRule type="expression" dxfId="17" priority="16">
      <formula>G17&lt;(MAX($F17:F17))</formula>
    </cfRule>
  </conditionalFormatting>
  <conditionalFormatting sqref="G18:J18">
    <cfRule type="expression" dxfId="16" priority="15">
      <formula>G18&gt;(MIN($F18:F18))</formula>
    </cfRule>
  </conditionalFormatting>
  <conditionalFormatting sqref="H22:K22">
    <cfRule type="expression" dxfId="15" priority="14">
      <formula>H22&gt;(MIN($G22:G22))</formula>
    </cfRule>
  </conditionalFormatting>
  <conditionalFormatting sqref="H21:K21">
    <cfRule type="expression" dxfId="14" priority="13">
      <formula>H21&lt;(MAX($G21:G21))</formula>
    </cfRule>
  </conditionalFormatting>
  <conditionalFormatting sqref="I26:L26">
    <cfRule type="expression" dxfId="13" priority="12">
      <formula>I26&gt;(MIN($H26:H26))</formula>
    </cfRule>
  </conditionalFormatting>
  <conditionalFormatting sqref="I25:L25">
    <cfRule type="expression" dxfId="12" priority="11">
      <formula>I25&lt;(MAX($H25:H25))</formula>
    </cfRule>
  </conditionalFormatting>
  <conditionalFormatting sqref="J30:L30">
    <cfRule type="expression" dxfId="11" priority="10">
      <formula>J30&gt;(MIN($I30:I30))</formula>
    </cfRule>
  </conditionalFormatting>
  <conditionalFormatting sqref="J29:L29">
    <cfRule type="expression" dxfId="10" priority="9">
      <formula>J29&lt;(MAX($I29:I29))</formula>
    </cfRule>
  </conditionalFormatting>
  <conditionalFormatting sqref="K34:L34">
    <cfRule type="expression" dxfId="9" priority="8">
      <formula>K34&gt;(MIN($J34:J34))</formula>
    </cfRule>
  </conditionalFormatting>
  <conditionalFormatting sqref="K33:L33">
    <cfRule type="expression" dxfId="8" priority="7">
      <formula>K33&lt;(MAX($J33:J33))</formula>
    </cfRule>
  </conditionalFormatting>
  <conditionalFormatting sqref="L38">
    <cfRule type="expression" dxfId="7" priority="6">
      <formula>L38&gt;(MIN($G38:K38))</formula>
    </cfRule>
  </conditionalFormatting>
  <conditionalFormatting sqref="L37">
    <cfRule type="expression" dxfId="6" priority="5">
      <formula>L37&lt;(MAX($K37:K37))</formula>
    </cfRule>
  </conditionalFormatting>
  <conditionalFormatting sqref="I15 J19 K23 L27">
    <cfRule type="expression" dxfId="5" priority="4">
      <formula>I15&lt;$H$8</formula>
    </cfRule>
  </conditionalFormatting>
  <conditionalFormatting sqref="M12:N15">
    <cfRule type="expression" dxfId="4" priority="3">
      <formula>$I$15&lt;$H$8</formula>
    </cfRule>
  </conditionalFormatting>
  <conditionalFormatting sqref="N16:N19">
    <cfRule type="expression" dxfId="3" priority="2">
      <formula>$I$15&lt;$H$8</formula>
    </cfRule>
  </conditionalFormatting>
  <conditionalFormatting sqref="N20:N23">
    <cfRule type="expression" dxfId="2"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B2682"/>
  <sheetViews>
    <sheetView workbookViewId="0">
      <selection activeCell="A2680" sqref="A2680"/>
    </sheetView>
  </sheetViews>
  <sheetFormatPr defaultColWidth="8.85546875" defaultRowHeight="12.75" x14ac:dyDescent="0.2"/>
  <cols>
    <col min="1" max="1" width="11.42578125" bestFit="1" customWidth="1"/>
    <col min="2" max="2" width="18.42578125" bestFit="1" customWidth="1"/>
    <col min="3" max="3" width="12.42578125" bestFit="1" customWidth="1"/>
    <col min="4" max="4" width="14.42578125" style="110" bestFit="1" customWidth="1"/>
    <col min="5" max="5" width="15.140625" style="110" bestFit="1" customWidth="1"/>
    <col min="6" max="7" width="14.7109375" style="110" bestFit="1" customWidth="1"/>
    <col min="8" max="8" width="14" style="110" bestFit="1" customWidth="1"/>
    <col min="9" max="9" width="12.85546875" style="110" bestFit="1" customWidth="1"/>
    <col min="10" max="13" width="14" style="110" bestFit="1" customWidth="1"/>
    <col min="15" max="15" width="6.42578125" customWidth="1"/>
    <col min="16" max="16" width="5.7109375" customWidth="1"/>
    <col min="17" max="19" width="11" bestFit="1" customWidth="1"/>
    <col min="20" max="20" width="7.42578125" bestFit="1" customWidth="1"/>
    <col min="21" max="21" width="12.85546875" bestFit="1" customWidth="1"/>
    <col min="23" max="23" width="10.85546875" bestFit="1" customWidth="1"/>
    <col min="24" max="24" width="13.28515625" bestFit="1" customWidth="1"/>
    <col min="25" max="25" width="17.28515625" bestFit="1" customWidth="1"/>
    <col min="26" max="26" width="18.42578125" bestFit="1" customWidth="1"/>
    <col min="27" max="27" width="8.140625" bestFit="1" customWidth="1"/>
    <col min="28" max="28" width="7.85546875" bestFit="1" customWidth="1"/>
  </cols>
  <sheetData>
    <row r="2" spans="1:28" ht="40.5" x14ac:dyDescent="0.25">
      <c r="A2" s="5" t="s">
        <v>170</v>
      </c>
      <c r="B2" s="5" t="s">
        <v>171</v>
      </c>
      <c r="C2" s="5" t="s">
        <v>172</v>
      </c>
      <c r="D2" s="109" t="s">
        <v>173</v>
      </c>
      <c r="E2" s="109" t="s">
        <v>174</v>
      </c>
      <c r="F2" s="109" t="s">
        <v>175</v>
      </c>
      <c r="G2" s="109" t="s">
        <v>176</v>
      </c>
      <c r="H2" s="109" t="s">
        <v>177</v>
      </c>
      <c r="I2" s="109" t="s">
        <v>178</v>
      </c>
      <c r="J2" s="109" t="s">
        <v>179</v>
      </c>
      <c r="K2" s="109" t="s">
        <v>180</v>
      </c>
      <c r="L2" s="109" t="s">
        <v>181</v>
      </c>
      <c r="M2" s="109" t="s">
        <v>182</v>
      </c>
      <c r="O2" s="64" t="s">
        <v>71</v>
      </c>
      <c r="P2" s="64" t="s">
        <v>72</v>
      </c>
      <c r="Q2" s="64" t="s">
        <v>73</v>
      </c>
      <c r="R2" s="64" t="s">
        <v>74</v>
      </c>
      <c r="S2" s="64" t="s">
        <v>75</v>
      </c>
      <c r="T2" s="5" t="s">
        <v>79</v>
      </c>
      <c r="U2" s="5" t="s">
        <v>130</v>
      </c>
      <c r="V2" s="5" t="s">
        <v>127</v>
      </c>
      <c r="W2" s="5" t="s">
        <v>128</v>
      </c>
      <c r="X2" s="5" t="s">
        <v>129</v>
      </c>
      <c r="Y2" s="5" t="s">
        <v>144</v>
      </c>
      <c r="Z2" s="5" t="s">
        <v>138</v>
      </c>
      <c r="AA2" s="5" t="s">
        <v>139</v>
      </c>
      <c r="AB2" s="5" t="s">
        <v>154</v>
      </c>
    </row>
    <row r="3" spans="1:28" ht="13.5" x14ac:dyDescent="0.25">
      <c r="A3" t="s">
        <v>2</v>
      </c>
      <c r="B3" t="s">
        <v>104</v>
      </c>
      <c r="C3" t="s">
        <v>191</v>
      </c>
      <c r="D3" s="110">
        <v>668805.07999999996</v>
      </c>
      <c r="E3" s="110">
        <v>668805.07999999996</v>
      </c>
      <c r="F3" s="110">
        <v>664635.92000000004</v>
      </c>
      <c r="G3" s="110">
        <v>663602.47</v>
      </c>
      <c r="I3" s="110">
        <v>68279.31</v>
      </c>
      <c r="J3" s="110">
        <v>81006.67</v>
      </c>
      <c r="K3" s="110">
        <v>93084.81</v>
      </c>
      <c r="L3" s="110">
        <v>103266.81</v>
      </c>
      <c r="O3" s="65">
        <v>1</v>
      </c>
      <c r="P3" s="65">
        <v>1</v>
      </c>
      <c r="Q3" s="65" t="s">
        <v>2</v>
      </c>
      <c r="R3" s="65" t="s">
        <v>2</v>
      </c>
      <c r="S3" s="65" t="s">
        <v>2</v>
      </c>
      <c r="T3" s="2">
        <v>1</v>
      </c>
      <c r="U3" s="2" t="s">
        <v>131</v>
      </c>
      <c r="V3" s="2">
        <v>1819</v>
      </c>
      <c r="W3" s="2" t="str">
        <f>"CGE CQ1-"&amp;RIGHT(V$3,2)</f>
        <v>CGE CQ1-19</v>
      </c>
      <c r="X3" s="2" t="str">
        <f>"RPE 12/31/"&amp;LEFT(V$3-101,2)</f>
        <v>RPE 12/31/17</v>
      </c>
      <c r="Y3" t="str">
        <f>"10/01/"&amp;LEFT(V3-101,2)&amp;" - 12/31/"&amp;LEFT(V3-101,2)</f>
        <v>10/01/17 - 12/31/17</v>
      </c>
      <c r="Z3" t="s">
        <v>104</v>
      </c>
      <c r="AA3" s="33">
        <v>0.09</v>
      </c>
      <c r="AB3" s="56" t="s">
        <v>155</v>
      </c>
    </row>
    <row r="4" spans="1:28" ht="13.5" x14ac:dyDescent="0.25">
      <c r="A4" t="s">
        <v>2</v>
      </c>
      <c r="B4" t="s">
        <v>104</v>
      </c>
      <c r="C4" t="s">
        <v>192</v>
      </c>
      <c r="D4" s="110">
        <v>1113007.02</v>
      </c>
      <c r="E4" s="110">
        <v>1105535.69</v>
      </c>
      <c r="F4" s="110">
        <v>1105290.19</v>
      </c>
      <c r="I4" s="110">
        <v>53249.599999999999</v>
      </c>
      <c r="J4" s="110">
        <v>70587.92</v>
      </c>
      <c r="K4" s="110">
        <v>81319.67</v>
      </c>
      <c r="O4" s="65">
        <v>2</v>
      </c>
      <c r="P4" s="65">
        <v>1</v>
      </c>
      <c r="Q4" s="65" t="s">
        <v>3</v>
      </c>
      <c r="R4" s="65" t="s">
        <v>3</v>
      </c>
      <c r="S4" s="65" t="s">
        <v>3</v>
      </c>
      <c r="T4" s="2">
        <v>2</v>
      </c>
      <c r="U4" s="2" t="s">
        <v>132</v>
      </c>
      <c r="V4" s="2"/>
      <c r="W4" s="2" t="str">
        <f>"CGE CQ2-"&amp;RIGHT(V$3,2)</f>
        <v>CGE CQ2-19</v>
      </c>
      <c r="X4" s="2" t="str">
        <f>"RPE 03/31/"&amp;LEFT(V$3,2)</f>
        <v>RPE 03/31/18</v>
      </c>
      <c r="Y4" t="str">
        <f>"01/01/"&amp;LEFT(V3,2)&amp;" - 03/31/"&amp;LEFT(V3,2)</f>
        <v>01/01/18 - 03/31/18</v>
      </c>
      <c r="Z4" t="s">
        <v>140</v>
      </c>
      <c r="AA4" s="34">
        <v>0</v>
      </c>
      <c r="AB4" s="56" t="s">
        <v>156</v>
      </c>
    </row>
    <row r="5" spans="1:28" ht="13.5" x14ac:dyDescent="0.25">
      <c r="A5" t="s">
        <v>2</v>
      </c>
      <c r="B5" t="s">
        <v>104</v>
      </c>
      <c r="C5" t="s">
        <v>193</v>
      </c>
      <c r="D5" s="110">
        <v>504344.7</v>
      </c>
      <c r="E5" s="110">
        <v>496287.16</v>
      </c>
      <c r="I5" s="110">
        <v>84449.49</v>
      </c>
      <c r="J5" s="110">
        <v>94272.05</v>
      </c>
      <c r="O5" s="65">
        <v>3</v>
      </c>
      <c r="P5" s="65">
        <v>1</v>
      </c>
      <c r="Q5" s="65" t="s">
        <v>4</v>
      </c>
      <c r="R5" s="65" t="s">
        <v>4</v>
      </c>
      <c r="S5" s="65" t="s">
        <v>4</v>
      </c>
      <c r="T5" s="2">
        <v>3</v>
      </c>
      <c r="U5" s="2" t="s">
        <v>133</v>
      </c>
      <c r="V5" s="2"/>
      <c r="W5" s="2" t="str">
        <f>"CGE CQ3-"&amp;RIGHT(V$3,2)</f>
        <v>CGE CQ3-19</v>
      </c>
      <c r="X5" s="2" t="str">
        <f>"RPE 06/30/"&amp;LEFT(V$3,2)</f>
        <v>RPE 06/30/18</v>
      </c>
      <c r="Y5" t="str">
        <f>"04/01/"&amp;LEFT(V3,2)&amp;" - 06/30/"&amp;LEFT(V3,2)</f>
        <v>04/01/18 - 06/30/18</v>
      </c>
      <c r="Z5" t="s">
        <v>105</v>
      </c>
      <c r="AA5" s="34">
        <v>0.4</v>
      </c>
    </row>
    <row r="6" spans="1:28" ht="13.5" x14ac:dyDescent="0.25">
      <c r="A6" t="s">
        <v>2</v>
      </c>
      <c r="B6" t="s">
        <v>104</v>
      </c>
      <c r="C6" t="s">
        <v>194</v>
      </c>
      <c r="D6" s="110">
        <v>627896.31999999995</v>
      </c>
      <c r="I6" s="110">
        <v>66875.179999999993</v>
      </c>
      <c r="O6" s="65">
        <v>4</v>
      </c>
      <c r="P6" s="65">
        <v>1</v>
      </c>
      <c r="Q6" s="65" t="s">
        <v>5</v>
      </c>
      <c r="R6" s="65" t="s">
        <v>5</v>
      </c>
      <c r="S6" s="65" t="s">
        <v>5</v>
      </c>
      <c r="T6" s="2">
        <v>4</v>
      </c>
      <c r="U6" s="2" t="s">
        <v>134</v>
      </c>
      <c r="V6" s="2"/>
      <c r="W6" s="2" t="str">
        <f>"CGE CQ4-"&amp;RIGHT(V$3,2)</f>
        <v>CGE CQ4-19</v>
      </c>
      <c r="X6" s="2" t="str">
        <f>"RPE 09/30/"&amp;LEFT(V$3,2)</f>
        <v>RPE 09/30/18</v>
      </c>
      <c r="Y6" t="str">
        <f>"07/01/"&amp;LEFT(V3,2)&amp;" - 09/30/"&amp;LEFT(V3,2)</f>
        <v>07/01/18 - 09/30/18</v>
      </c>
      <c r="Z6" t="s">
        <v>111</v>
      </c>
      <c r="AA6" s="34">
        <v>0.09</v>
      </c>
    </row>
    <row r="7" spans="1:28" ht="13.5" x14ac:dyDescent="0.25">
      <c r="A7" t="s">
        <v>2</v>
      </c>
      <c r="B7" t="s">
        <v>140</v>
      </c>
      <c r="C7" t="s">
        <v>191</v>
      </c>
      <c r="D7" s="110">
        <v>264949</v>
      </c>
      <c r="E7" s="110">
        <v>264949</v>
      </c>
      <c r="F7" s="110">
        <v>212549</v>
      </c>
      <c r="G7" s="110">
        <v>212549</v>
      </c>
      <c r="I7" s="110">
        <v>0</v>
      </c>
      <c r="J7" s="110">
        <v>2</v>
      </c>
      <c r="K7" s="110">
        <v>242.38</v>
      </c>
      <c r="L7" s="110">
        <v>330.69</v>
      </c>
      <c r="O7" s="65">
        <v>5</v>
      </c>
      <c r="P7" s="65">
        <v>1</v>
      </c>
      <c r="Q7" s="65" t="s">
        <v>6</v>
      </c>
      <c r="R7" s="65" t="s">
        <v>6</v>
      </c>
      <c r="S7" s="65" t="s">
        <v>6</v>
      </c>
      <c r="T7" s="2">
        <v>5</v>
      </c>
      <c r="U7" s="2"/>
      <c r="V7" s="2"/>
      <c r="W7" s="2" t="str">
        <f>"CGE CQ1-"&amp;RIGHT(V$3+101,2)</f>
        <v>CGE CQ1-20</v>
      </c>
      <c r="X7" s="2" t="str">
        <f>"RPE 12/31/"&amp;LEFT(V$3,2)</f>
        <v>RPE 12/31/18</v>
      </c>
      <c r="Y7" t="str">
        <f>"10/01/"&amp;LEFT(V3,2)&amp;" - 12/31/"&amp;LEFT(V3,2)</f>
        <v>10/01/18 - 12/31/18</v>
      </c>
      <c r="Z7" t="s">
        <v>109</v>
      </c>
      <c r="AA7" s="34">
        <v>0.4</v>
      </c>
    </row>
    <row r="8" spans="1:28" ht="13.5" x14ac:dyDescent="0.25">
      <c r="A8" t="s">
        <v>2</v>
      </c>
      <c r="B8" t="s">
        <v>140</v>
      </c>
      <c r="C8" t="s">
        <v>192</v>
      </c>
      <c r="D8" s="110">
        <v>632349</v>
      </c>
      <c r="E8" s="110">
        <v>632349</v>
      </c>
      <c r="F8" s="110">
        <v>632349</v>
      </c>
      <c r="I8" s="110">
        <v>190.31</v>
      </c>
      <c r="J8" s="110">
        <v>190.31</v>
      </c>
      <c r="K8" s="110">
        <v>190.31</v>
      </c>
      <c r="O8" s="65">
        <v>6</v>
      </c>
      <c r="P8" s="65">
        <v>1</v>
      </c>
      <c r="Q8" s="65" t="s">
        <v>7</v>
      </c>
      <c r="R8" s="65" t="s">
        <v>7</v>
      </c>
      <c r="S8" s="65" t="s">
        <v>7</v>
      </c>
      <c r="T8" s="2">
        <v>6</v>
      </c>
      <c r="U8" s="2"/>
      <c r="V8" s="2"/>
      <c r="W8" s="2" t="str">
        <f>"CGE CQ2-"&amp;RIGHT(V$3+101,2)</f>
        <v>CGE CQ2-20</v>
      </c>
      <c r="X8" s="2" t="str">
        <f>"RPE 03/31/"&amp;RIGHT(V$3,2)</f>
        <v>RPE 03/31/19</v>
      </c>
      <c r="Y8" t="str">
        <f>"01/01/"&amp;LEFT(V3+101,2)&amp;" - 03/31/"&amp;LEFT(V3+101,2)</f>
        <v>01/01/19 - 03/31/19</v>
      </c>
      <c r="Z8" t="s">
        <v>106</v>
      </c>
      <c r="AA8" s="34">
        <v>0.9</v>
      </c>
    </row>
    <row r="9" spans="1:28" ht="13.5" x14ac:dyDescent="0.25">
      <c r="A9" t="s">
        <v>2</v>
      </c>
      <c r="B9" t="s">
        <v>140</v>
      </c>
      <c r="C9" t="s">
        <v>193</v>
      </c>
      <c r="D9" s="110">
        <v>57775</v>
      </c>
      <c r="E9" s="110">
        <v>57775</v>
      </c>
      <c r="I9" s="110">
        <v>166.8</v>
      </c>
      <c r="J9" s="110">
        <v>261.7</v>
      </c>
      <c r="O9" s="65">
        <v>7</v>
      </c>
      <c r="P9" s="65">
        <v>1</v>
      </c>
      <c r="Q9" s="65" t="s">
        <v>8</v>
      </c>
      <c r="R9" s="65" t="s">
        <v>8</v>
      </c>
      <c r="S9" s="65" t="s">
        <v>8</v>
      </c>
      <c r="T9" s="2">
        <v>7</v>
      </c>
      <c r="U9" s="2"/>
      <c r="V9" s="2"/>
      <c r="W9" s="2" t="str">
        <f>"CGE CQ3-"&amp;RIGHT(V$3+101,2)</f>
        <v>CGE CQ3-20</v>
      </c>
      <c r="X9" s="2" t="str">
        <f>"RPE 06/30/"&amp;RIGHT(V$3,2)</f>
        <v>RPE 06/30/19</v>
      </c>
      <c r="Y9" t="str">
        <f>"04/01/"&amp;LEFT(V3+101,2)&amp;" - 06/30/"&amp;LEFT(V3+101,2)</f>
        <v>04/01/19 - 06/30/19</v>
      </c>
      <c r="Z9" t="s">
        <v>107</v>
      </c>
      <c r="AA9" s="34">
        <v>0.9</v>
      </c>
    </row>
    <row r="10" spans="1:28" ht="13.5" x14ac:dyDescent="0.25">
      <c r="A10" t="s">
        <v>2</v>
      </c>
      <c r="B10" t="s">
        <v>140</v>
      </c>
      <c r="C10" t="s">
        <v>194</v>
      </c>
      <c r="D10" s="110">
        <v>109093</v>
      </c>
      <c r="I10" s="110">
        <v>426</v>
      </c>
      <c r="O10" s="65">
        <v>8</v>
      </c>
      <c r="P10" s="65">
        <v>1</v>
      </c>
      <c r="Q10" s="65" t="s">
        <v>9</v>
      </c>
      <c r="R10" s="65" t="s">
        <v>9</v>
      </c>
      <c r="S10" s="65" t="s">
        <v>9</v>
      </c>
      <c r="T10" s="2">
        <v>8</v>
      </c>
      <c r="U10" s="2"/>
      <c r="V10" s="2"/>
      <c r="W10" s="2" t="str">
        <f>"CGE CQ4-"&amp;RIGHT(V$3+101,2)</f>
        <v>CGE CQ4-20</v>
      </c>
      <c r="X10" s="2" t="str">
        <f>"RPE 09/30/"&amp;RIGHT(V$3,2)</f>
        <v>RPE 09/30/19</v>
      </c>
      <c r="Y10" t="str">
        <f>"07/01/"&amp;LEFT(V3+101,2)&amp;" - 09/30/"&amp;LEFT(V3+101,2)</f>
        <v>07/01/19 - 09/30/19</v>
      </c>
      <c r="Z10" t="s">
        <v>110</v>
      </c>
      <c r="AA10" s="34">
        <v>0.9</v>
      </c>
    </row>
    <row r="11" spans="1:28" ht="13.5" x14ac:dyDescent="0.25">
      <c r="A11" t="s">
        <v>2</v>
      </c>
      <c r="B11" t="s">
        <v>105</v>
      </c>
      <c r="C11" t="s">
        <v>191</v>
      </c>
      <c r="D11" s="110">
        <v>142952.26</v>
      </c>
      <c r="E11" s="110">
        <v>142952.26</v>
      </c>
      <c r="F11" s="110">
        <v>140347.26</v>
      </c>
      <c r="G11" s="110">
        <v>139741.26</v>
      </c>
      <c r="I11" s="110">
        <v>27596.05</v>
      </c>
      <c r="J11" s="110">
        <v>42223.66</v>
      </c>
      <c r="K11" s="110">
        <v>47649.37</v>
      </c>
      <c r="L11" s="110">
        <v>55624.39</v>
      </c>
      <c r="O11" s="65">
        <v>9</v>
      </c>
      <c r="P11" s="65">
        <v>1</v>
      </c>
      <c r="Q11" s="65" t="s">
        <v>10</v>
      </c>
      <c r="R11" s="65" t="s">
        <v>10</v>
      </c>
      <c r="S11" s="65" t="s">
        <v>10</v>
      </c>
      <c r="T11" s="2">
        <v>9</v>
      </c>
      <c r="U11" s="2"/>
      <c r="V11" s="2"/>
      <c r="W11" s="2"/>
      <c r="X11" s="2"/>
      <c r="Z11" t="s">
        <v>108</v>
      </c>
      <c r="AA11" s="34">
        <v>0.9</v>
      </c>
    </row>
    <row r="12" spans="1:28" ht="13.5" x14ac:dyDescent="0.25">
      <c r="A12" t="s">
        <v>2</v>
      </c>
      <c r="B12" t="s">
        <v>105</v>
      </c>
      <c r="C12" t="s">
        <v>192</v>
      </c>
      <c r="D12" s="110">
        <v>164876.15</v>
      </c>
      <c r="E12" s="110">
        <v>163229.15</v>
      </c>
      <c r="F12" s="110">
        <v>160313.15</v>
      </c>
      <c r="I12" s="110">
        <v>31877.86</v>
      </c>
      <c r="J12" s="110">
        <v>46731.75</v>
      </c>
      <c r="K12" s="110">
        <v>53743.61</v>
      </c>
      <c r="O12" s="65">
        <v>10</v>
      </c>
      <c r="P12" s="65">
        <v>1</v>
      </c>
      <c r="Q12" s="65" t="s">
        <v>11</v>
      </c>
      <c r="R12" s="65" t="s">
        <v>11</v>
      </c>
      <c r="S12" s="65" t="s">
        <v>11</v>
      </c>
      <c r="T12" s="2">
        <v>10</v>
      </c>
      <c r="U12" s="2"/>
      <c r="V12" s="2"/>
      <c r="W12" s="2"/>
      <c r="X12" s="2"/>
      <c r="Z12" t="s">
        <v>70</v>
      </c>
      <c r="AA12" s="34">
        <v>0.75</v>
      </c>
    </row>
    <row r="13" spans="1:28" ht="13.5" x14ac:dyDescent="0.25">
      <c r="A13" t="s">
        <v>2</v>
      </c>
      <c r="B13" t="s">
        <v>105</v>
      </c>
      <c r="C13" t="s">
        <v>193</v>
      </c>
      <c r="D13" s="110">
        <v>133658.64000000001</v>
      </c>
      <c r="E13" s="110">
        <v>131478.64000000001</v>
      </c>
      <c r="I13" s="110">
        <v>25395.68</v>
      </c>
      <c r="J13" s="110">
        <v>38477.480000000003</v>
      </c>
      <c r="O13" s="65">
        <v>11</v>
      </c>
      <c r="P13" s="65">
        <v>1</v>
      </c>
      <c r="Q13" s="65" t="s">
        <v>12</v>
      </c>
      <c r="R13" s="65" t="s">
        <v>12</v>
      </c>
      <c r="S13" s="65" t="s">
        <v>12</v>
      </c>
      <c r="T13" s="2"/>
      <c r="U13" s="2"/>
      <c r="V13" s="2"/>
      <c r="W13" s="2"/>
      <c r="X13" s="2"/>
    </row>
    <row r="14" spans="1:28" ht="13.5" x14ac:dyDescent="0.25">
      <c r="A14" t="s">
        <v>2</v>
      </c>
      <c r="B14" t="s">
        <v>105</v>
      </c>
      <c r="C14" t="s">
        <v>194</v>
      </c>
      <c r="D14" s="110">
        <v>142083.04</v>
      </c>
      <c r="I14" s="110">
        <v>19626.25</v>
      </c>
      <c r="O14" s="65">
        <v>12</v>
      </c>
      <c r="P14" s="65">
        <v>1</v>
      </c>
      <c r="Q14" s="65" t="s">
        <v>13</v>
      </c>
      <c r="R14" s="65" t="s">
        <v>13</v>
      </c>
      <c r="S14" s="65" t="s">
        <v>13</v>
      </c>
      <c r="T14" s="2"/>
      <c r="U14" s="2"/>
      <c r="V14" s="2"/>
      <c r="W14" s="2"/>
      <c r="X14" s="2"/>
    </row>
    <row r="15" spans="1:28" ht="13.5" x14ac:dyDescent="0.25">
      <c r="A15" t="s">
        <v>2</v>
      </c>
      <c r="B15" t="s">
        <v>111</v>
      </c>
      <c r="C15" t="s">
        <v>191</v>
      </c>
      <c r="D15" s="110">
        <v>18435</v>
      </c>
      <c r="E15" s="110">
        <v>18435</v>
      </c>
      <c r="F15" s="110">
        <v>18235</v>
      </c>
      <c r="G15" s="110">
        <v>17635</v>
      </c>
      <c r="I15" s="110">
        <v>132</v>
      </c>
      <c r="J15" s="110">
        <v>1035</v>
      </c>
      <c r="K15" s="110">
        <v>1155</v>
      </c>
      <c r="L15" s="110">
        <v>1255</v>
      </c>
      <c r="O15" s="65">
        <v>14</v>
      </c>
      <c r="P15" s="65">
        <v>1</v>
      </c>
      <c r="Q15" s="65" t="s">
        <v>223</v>
      </c>
      <c r="R15" s="65" t="s">
        <v>223</v>
      </c>
      <c r="S15" s="65" t="s">
        <v>222</v>
      </c>
      <c r="T15" s="2"/>
      <c r="U15" s="2"/>
      <c r="V15" s="2"/>
      <c r="W15" s="2"/>
      <c r="X15" s="2"/>
    </row>
    <row r="16" spans="1:28" ht="13.5" x14ac:dyDescent="0.25">
      <c r="A16" t="s">
        <v>2</v>
      </c>
      <c r="B16" t="s">
        <v>111</v>
      </c>
      <c r="C16" t="s">
        <v>192</v>
      </c>
      <c r="D16" s="110">
        <v>27542</v>
      </c>
      <c r="E16" s="110">
        <v>27292</v>
      </c>
      <c r="F16" s="110">
        <v>27292</v>
      </c>
      <c r="I16" s="110">
        <v>212</v>
      </c>
      <c r="J16" s="110">
        <v>312</v>
      </c>
      <c r="K16" s="110">
        <v>512</v>
      </c>
      <c r="O16" s="65">
        <v>15</v>
      </c>
      <c r="P16" s="65">
        <v>1</v>
      </c>
      <c r="Q16" s="65" t="s">
        <v>15</v>
      </c>
      <c r="R16" s="65" t="s">
        <v>15</v>
      </c>
      <c r="S16" s="65" t="s">
        <v>15</v>
      </c>
      <c r="T16" s="2"/>
      <c r="U16" s="2"/>
      <c r="V16" s="2"/>
      <c r="W16" s="2"/>
      <c r="X16" s="2"/>
    </row>
    <row r="17" spans="1:24" ht="13.5" x14ac:dyDescent="0.25">
      <c r="A17" t="s">
        <v>2</v>
      </c>
      <c r="B17" t="s">
        <v>111</v>
      </c>
      <c r="C17" t="s">
        <v>193</v>
      </c>
      <c r="D17" s="110">
        <v>29140</v>
      </c>
      <c r="E17" s="110">
        <v>29140</v>
      </c>
      <c r="I17" s="110">
        <v>277</v>
      </c>
      <c r="J17" s="110">
        <v>477</v>
      </c>
      <c r="O17" s="65">
        <v>16</v>
      </c>
      <c r="P17" s="65">
        <v>1</v>
      </c>
      <c r="Q17" s="65" t="s">
        <v>16</v>
      </c>
      <c r="R17" s="65" t="s">
        <v>16</v>
      </c>
      <c r="S17" s="65" t="s">
        <v>16</v>
      </c>
      <c r="T17" s="2"/>
      <c r="U17" s="2"/>
      <c r="V17" s="2"/>
      <c r="W17" s="2"/>
      <c r="X17" s="2"/>
    </row>
    <row r="18" spans="1:24" ht="13.5" x14ac:dyDescent="0.25">
      <c r="A18" t="s">
        <v>2</v>
      </c>
      <c r="B18" t="s">
        <v>111</v>
      </c>
      <c r="C18" t="s">
        <v>194</v>
      </c>
      <c r="D18" s="110">
        <v>21012.87</v>
      </c>
      <c r="I18" s="110">
        <v>1216.8699999999999</v>
      </c>
      <c r="O18" s="65">
        <v>17</v>
      </c>
      <c r="P18" s="65">
        <v>1</v>
      </c>
      <c r="Q18" s="65" t="s">
        <v>17</v>
      </c>
      <c r="R18" s="65" t="s">
        <v>17</v>
      </c>
      <c r="S18" s="65" t="s">
        <v>17</v>
      </c>
    </row>
    <row r="19" spans="1:24" ht="13.5" x14ac:dyDescent="0.25">
      <c r="A19" t="s">
        <v>2</v>
      </c>
      <c r="B19" t="s">
        <v>109</v>
      </c>
      <c r="C19" t="s">
        <v>191</v>
      </c>
      <c r="D19" s="110">
        <v>233785.37</v>
      </c>
      <c r="E19" s="110">
        <v>231516.37</v>
      </c>
      <c r="F19" s="110">
        <v>225054.37</v>
      </c>
      <c r="G19" s="110">
        <v>221072.87</v>
      </c>
      <c r="I19" s="110">
        <v>59613.99</v>
      </c>
      <c r="J19" s="110">
        <v>89892.84</v>
      </c>
      <c r="K19" s="110">
        <v>104773.97</v>
      </c>
      <c r="L19" s="110">
        <v>129559.89</v>
      </c>
      <c r="O19" s="65">
        <v>18</v>
      </c>
      <c r="P19" s="65">
        <v>1</v>
      </c>
      <c r="Q19" s="65" t="s">
        <v>18</v>
      </c>
      <c r="R19" s="65" t="s">
        <v>18</v>
      </c>
      <c r="S19" s="65" t="s">
        <v>18</v>
      </c>
    </row>
    <row r="20" spans="1:24" ht="13.5" x14ac:dyDescent="0.25">
      <c r="A20" t="s">
        <v>2</v>
      </c>
      <c r="B20" t="s">
        <v>109</v>
      </c>
      <c r="C20" t="s">
        <v>192</v>
      </c>
      <c r="D20" s="110">
        <v>263333.06</v>
      </c>
      <c r="E20" s="110">
        <v>261175.56</v>
      </c>
      <c r="F20" s="110">
        <v>258361.56</v>
      </c>
      <c r="I20" s="110">
        <v>71180.52</v>
      </c>
      <c r="J20" s="110">
        <v>104848.57</v>
      </c>
      <c r="K20" s="110">
        <v>133051.99</v>
      </c>
      <c r="O20" s="65">
        <v>19</v>
      </c>
      <c r="P20" s="65">
        <v>1</v>
      </c>
      <c r="Q20" s="65" t="s">
        <v>19</v>
      </c>
      <c r="R20" s="65" t="s">
        <v>19</v>
      </c>
      <c r="S20" s="65" t="s">
        <v>19</v>
      </c>
    </row>
    <row r="21" spans="1:24" ht="13.5" x14ac:dyDescent="0.25">
      <c r="A21" t="s">
        <v>2</v>
      </c>
      <c r="B21" t="s">
        <v>109</v>
      </c>
      <c r="C21" t="s">
        <v>193</v>
      </c>
      <c r="D21" s="110">
        <v>252050.52</v>
      </c>
      <c r="E21" s="110">
        <v>249384.52</v>
      </c>
      <c r="I21" s="110">
        <v>46327.99</v>
      </c>
      <c r="J21" s="110">
        <v>72943.34</v>
      </c>
      <c r="O21" s="65">
        <v>20</v>
      </c>
      <c r="P21" s="65">
        <v>1</v>
      </c>
      <c r="Q21" s="65" t="s">
        <v>20</v>
      </c>
      <c r="R21" s="65" t="s">
        <v>20</v>
      </c>
      <c r="S21" s="65" t="s">
        <v>20</v>
      </c>
    </row>
    <row r="22" spans="1:24" ht="13.5" x14ac:dyDescent="0.25">
      <c r="A22" t="s">
        <v>2</v>
      </c>
      <c r="B22" t="s">
        <v>109</v>
      </c>
      <c r="C22" t="s">
        <v>194</v>
      </c>
      <c r="D22" s="110">
        <v>208224.3</v>
      </c>
      <c r="I22" s="110">
        <v>56243.69</v>
      </c>
      <c r="O22" s="65">
        <v>21</v>
      </c>
      <c r="P22" s="65">
        <v>1</v>
      </c>
      <c r="Q22" s="65" t="s">
        <v>21</v>
      </c>
      <c r="R22" s="65" t="s">
        <v>21</v>
      </c>
      <c r="S22" s="65" t="s">
        <v>21</v>
      </c>
    </row>
    <row r="23" spans="1:24" ht="13.5" x14ac:dyDescent="0.25">
      <c r="A23" t="s">
        <v>2</v>
      </c>
      <c r="B23" t="s">
        <v>106</v>
      </c>
      <c r="C23" t="s">
        <v>191</v>
      </c>
      <c r="D23" s="110">
        <v>268151.67</v>
      </c>
      <c r="E23" s="110">
        <v>267791.67</v>
      </c>
      <c r="F23" s="110">
        <v>267791.67</v>
      </c>
      <c r="G23" s="110">
        <v>267391.67</v>
      </c>
      <c r="I23" s="110">
        <v>263650.84000000003</v>
      </c>
      <c r="J23" s="110">
        <v>264314.84000000003</v>
      </c>
      <c r="K23" s="110">
        <v>264655.84000000003</v>
      </c>
      <c r="L23" s="110">
        <v>264454.84000000003</v>
      </c>
      <c r="O23" s="65">
        <v>22</v>
      </c>
      <c r="P23" s="65">
        <v>1</v>
      </c>
      <c r="Q23" s="65" t="s">
        <v>22</v>
      </c>
      <c r="R23" s="65" t="s">
        <v>22</v>
      </c>
      <c r="S23" s="65" t="s">
        <v>22</v>
      </c>
    </row>
    <row r="24" spans="1:24" ht="13.5" x14ac:dyDescent="0.25">
      <c r="A24" t="s">
        <v>2</v>
      </c>
      <c r="B24" t="s">
        <v>106</v>
      </c>
      <c r="C24" t="s">
        <v>192</v>
      </c>
      <c r="D24" s="110">
        <v>377778.35</v>
      </c>
      <c r="E24" s="110">
        <v>377408.35</v>
      </c>
      <c r="F24" s="110">
        <v>375639.95</v>
      </c>
      <c r="I24" s="110">
        <v>368710.35</v>
      </c>
      <c r="J24" s="110">
        <v>372756.85</v>
      </c>
      <c r="K24" s="110">
        <v>371088.45</v>
      </c>
      <c r="O24" s="65">
        <v>23</v>
      </c>
      <c r="P24" s="65">
        <v>1</v>
      </c>
      <c r="Q24" s="65" t="s">
        <v>23</v>
      </c>
      <c r="R24" s="65" t="s">
        <v>23</v>
      </c>
      <c r="S24" s="65" t="s">
        <v>23</v>
      </c>
    </row>
    <row r="25" spans="1:24" ht="13.5" x14ac:dyDescent="0.25">
      <c r="A25" t="s">
        <v>2</v>
      </c>
      <c r="B25" t="s">
        <v>106</v>
      </c>
      <c r="C25" t="s">
        <v>193</v>
      </c>
      <c r="D25" s="110">
        <v>407692.24</v>
      </c>
      <c r="E25" s="110">
        <v>406979.24</v>
      </c>
      <c r="I25" s="110">
        <v>402534.74</v>
      </c>
      <c r="J25" s="110">
        <v>404827.24</v>
      </c>
      <c r="O25" s="65">
        <v>24</v>
      </c>
      <c r="P25" s="65">
        <v>1</v>
      </c>
      <c r="Q25" s="65" t="s">
        <v>24</v>
      </c>
      <c r="R25" s="65" t="s">
        <v>24</v>
      </c>
      <c r="S25" s="65" t="s">
        <v>24</v>
      </c>
    </row>
    <row r="26" spans="1:24" ht="13.5" x14ac:dyDescent="0.25">
      <c r="A26" t="s">
        <v>2</v>
      </c>
      <c r="B26" t="s">
        <v>106</v>
      </c>
      <c r="C26" t="s">
        <v>194</v>
      </c>
      <c r="D26" s="110">
        <v>429793.53</v>
      </c>
      <c r="I26" s="110">
        <v>423510.68</v>
      </c>
      <c r="O26" s="65">
        <v>25</v>
      </c>
      <c r="P26" s="65">
        <v>1</v>
      </c>
      <c r="Q26" s="65" t="s">
        <v>25</v>
      </c>
      <c r="R26" s="65" t="s">
        <v>25</v>
      </c>
      <c r="S26" s="65" t="s">
        <v>25</v>
      </c>
    </row>
    <row r="27" spans="1:24" ht="13.5" x14ac:dyDescent="0.25">
      <c r="A27" t="s">
        <v>2</v>
      </c>
      <c r="B27" t="s">
        <v>107</v>
      </c>
      <c r="C27" t="s">
        <v>191</v>
      </c>
      <c r="D27" s="110">
        <v>239476.13</v>
      </c>
      <c r="E27" s="110">
        <v>239476.13</v>
      </c>
      <c r="F27" s="110">
        <v>239476.13</v>
      </c>
      <c r="G27" s="110">
        <v>239416.13</v>
      </c>
      <c r="I27" s="110">
        <v>237464.37</v>
      </c>
      <c r="J27" s="110">
        <v>238131.13</v>
      </c>
      <c r="K27" s="110">
        <v>238376.38</v>
      </c>
      <c r="L27" s="110">
        <v>238491.13</v>
      </c>
      <c r="O27" s="65">
        <v>26</v>
      </c>
      <c r="P27" s="65">
        <v>1</v>
      </c>
      <c r="Q27" s="65" t="s">
        <v>26</v>
      </c>
      <c r="R27" s="65" t="s">
        <v>26</v>
      </c>
      <c r="S27" s="65" t="s">
        <v>26</v>
      </c>
    </row>
    <row r="28" spans="1:24" ht="13.5" x14ac:dyDescent="0.25">
      <c r="A28" t="s">
        <v>2</v>
      </c>
      <c r="B28" t="s">
        <v>107</v>
      </c>
      <c r="C28" t="s">
        <v>192</v>
      </c>
      <c r="D28" s="110">
        <v>259124.36</v>
      </c>
      <c r="E28" s="110">
        <v>259124.36</v>
      </c>
      <c r="F28" s="110">
        <v>259124.36</v>
      </c>
      <c r="I28" s="110">
        <v>257673.86</v>
      </c>
      <c r="J28" s="110">
        <v>258487.36</v>
      </c>
      <c r="K28" s="110">
        <v>258652.36</v>
      </c>
      <c r="O28" s="65">
        <v>27</v>
      </c>
      <c r="P28" s="65">
        <v>1</v>
      </c>
      <c r="Q28" s="65" t="s">
        <v>27</v>
      </c>
      <c r="R28" s="65" t="s">
        <v>27</v>
      </c>
      <c r="S28" s="65" t="s">
        <v>27</v>
      </c>
    </row>
    <row r="29" spans="1:24" ht="13.5" x14ac:dyDescent="0.25">
      <c r="A29" t="s">
        <v>2</v>
      </c>
      <c r="B29" t="s">
        <v>107</v>
      </c>
      <c r="C29" t="s">
        <v>193</v>
      </c>
      <c r="D29" s="110">
        <v>304578.28999999998</v>
      </c>
      <c r="E29" s="110">
        <v>304408.28999999998</v>
      </c>
      <c r="I29" s="110">
        <v>300857.02</v>
      </c>
      <c r="J29" s="110">
        <v>301843.28999999998</v>
      </c>
      <c r="O29" s="65">
        <v>28</v>
      </c>
      <c r="P29" s="65">
        <v>1</v>
      </c>
      <c r="Q29" s="65" t="s">
        <v>28</v>
      </c>
      <c r="R29" s="65" t="s">
        <v>28</v>
      </c>
      <c r="S29" s="65" t="s">
        <v>28</v>
      </c>
    </row>
    <row r="30" spans="1:24" ht="13.5" x14ac:dyDescent="0.25">
      <c r="A30" t="s">
        <v>2</v>
      </c>
      <c r="B30" t="s">
        <v>107</v>
      </c>
      <c r="C30" t="s">
        <v>194</v>
      </c>
      <c r="D30" s="110">
        <v>319290.57</v>
      </c>
      <c r="I30" s="110">
        <v>315078.05</v>
      </c>
      <c r="O30" s="65">
        <v>29</v>
      </c>
      <c r="P30" s="65">
        <v>1</v>
      </c>
      <c r="Q30" s="65" t="s">
        <v>29</v>
      </c>
      <c r="R30" s="65" t="s">
        <v>29</v>
      </c>
      <c r="S30" s="65" t="s">
        <v>29</v>
      </c>
    </row>
    <row r="31" spans="1:24" ht="13.5" x14ac:dyDescent="0.25">
      <c r="A31" t="s">
        <v>2</v>
      </c>
      <c r="B31" t="s">
        <v>108</v>
      </c>
      <c r="C31" t="s">
        <v>191</v>
      </c>
      <c r="D31" s="110">
        <v>55100.07</v>
      </c>
      <c r="E31" s="110">
        <v>55100.07</v>
      </c>
      <c r="F31" s="110">
        <v>55100.07</v>
      </c>
      <c r="G31" s="110">
        <v>55100.07</v>
      </c>
      <c r="I31" s="110">
        <v>54159.07</v>
      </c>
      <c r="J31" s="110">
        <v>54842.07</v>
      </c>
      <c r="K31" s="110">
        <v>54862.07</v>
      </c>
      <c r="L31" s="110">
        <v>54862.07</v>
      </c>
      <c r="O31" s="65">
        <v>30</v>
      </c>
      <c r="P31" s="65">
        <v>1</v>
      </c>
      <c r="Q31" s="65" t="s">
        <v>30</v>
      </c>
      <c r="R31" s="65" t="s">
        <v>30</v>
      </c>
      <c r="S31" s="65" t="s">
        <v>30</v>
      </c>
    </row>
    <row r="32" spans="1:24" ht="13.5" x14ac:dyDescent="0.25">
      <c r="A32" t="s">
        <v>2</v>
      </c>
      <c r="B32" t="s">
        <v>108</v>
      </c>
      <c r="C32" t="s">
        <v>192</v>
      </c>
      <c r="D32" s="110">
        <v>73458.77</v>
      </c>
      <c r="E32" s="110">
        <v>73013.77</v>
      </c>
      <c r="F32" s="110">
        <v>72778.77</v>
      </c>
      <c r="I32" s="110">
        <v>70227.5</v>
      </c>
      <c r="J32" s="110">
        <v>70987.5</v>
      </c>
      <c r="K32" s="110">
        <v>71112.5</v>
      </c>
      <c r="O32" s="65">
        <v>31</v>
      </c>
      <c r="P32" s="65">
        <v>1</v>
      </c>
      <c r="Q32" s="65" t="s">
        <v>31</v>
      </c>
      <c r="R32" s="65" t="s">
        <v>31</v>
      </c>
      <c r="S32" s="65" t="s">
        <v>31</v>
      </c>
    </row>
    <row r="33" spans="1:19" ht="13.5" x14ac:dyDescent="0.25">
      <c r="A33" t="s">
        <v>2</v>
      </c>
      <c r="B33" t="s">
        <v>108</v>
      </c>
      <c r="C33" t="s">
        <v>193</v>
      </c>
      <c r="D33" s="110">
        <v>73330.929999999993</v>
      </c>
      <c r="E33" s="110">
        <v>72765.929999999993</v>
      </c>
      <c r="I33" s="110">
        <v>70834.929999999993</v>
      </c>
      <c r="J33" s="110">
        <v>71932.429999999993</v>
      </c>
      <c r="O33" s="65">
        <v>32</v>
      </c>
      <c r="P33" s="65">
        <v>1</v>
      </c>
      <c r="Q33" s="65" t="s">
        <v>32</v>
      </c>
      <c r="R33" s="65" t="s">
        <v>32</v>
      </c>
      <c r="S33" s="65" t="s">
        <v>32</v>
      </c>
    </row>
    <row r="34" spans="1:19" ht="13.5" x14ac:dyDescent="0.25">
      <c r="A34" t="s">
        <v>2</v>
      </c>
      <c r="B34" t="s">
        <v>108</v>
      </c>
      <c r="C34" t="s">
        <v>194</v>
      </c>
      <c r="D34" s="110">
        <v>60195.57</v>
      </c>
      <c r="I34" s="110">
        <v>58479.57</v>
      </c>
      <c r="O34" s="65">
        <v>33</v>
      </c>
      <c r="P34" s="65">
        <v>1</v>
      </c>
      <c r="Q34" s="65" t="s">
        <v>33</v>
      </c>
      <c r="R34" s="65" t="s">
        <v>33</v>
      </c>
      <c r="S34" s="65" t="s">
        <v>33</v>
      </c>
    </row>
    <row r="35" spans="1:19" ht="13.5" x14ac:dyDescent="0.25">
      <c r="A35" t="s">
        <v>2</v>
      </c>
      <c r="B35" t="s">
        <v>70</v>
      </c>
      <c r="C35" t="s">
        <v>191</v>
      </c>
      <c r="D35" s="110">
        <v>115522.4</v>
      </c>
      <c r="E35" s="110">
        <v>115522.4</v>
      </c>
      <c r="F35" s="110">
        <v>115472.4</v>
      </c>
      <c r="G35" s="110">
        <v>115412.4</v>
      </c>
      <c r="I35" s="110">
        <v>101022.9</v>
      </c>
      <c r="J35" s="110">
        <v>104956.9</v>
      </c>
      <c r="K35" s="110">
        <v>105499.9</v>
      </c>
      <c r="L35" s="110">
        <v>106421.9</v>
      </c>
      <c r="O35" s="65">
        <v>34</v>
      </c>
      <c r="P35" s="65">
        <v>1</v>
      </c>
      <c r="Q35" s="65" t="s">
        <v>34</v>
      </c>
      <c r="R35" s="65" t="s">
        <v>34</v>
      </c>
      <c r="S35" s="65" t="s">
        <v>34</v>
      </c>
    </row>
    <row r="36" spans="1:19" ht="13.5" x14ac:dyDescent="0.25">
      <c r="A36" t="s">
        <v>2</v>
      </c>
      <c r="B36" t="s">
        <v>70</v>
      </c>
      <c r="C36" t="s">
        <v>192</v>
      </c>
      <c r="D36" s="110">
        <v>132247.24</v>
      </c>
      <c r="E36" s="110">
        <v>129753.24</v>
      </c>
      <c r="F36" s="110">
        <v>129703.24</v>
      </c>
      <c r="I36" s="110">
        <v>111095.24</v>
      </c>
      <c r="J36" s="110">
        <v>118533.24</v>
      </c>
      <c r="K36" s="110">
        <v>119686.24</v>
      </c>
      <c r="O36" s="65">
        <v>35</v>
      </c>
      <c r="P36" s="65">
        <v>1</v>
      </c>
      <c r="Q36" s="65" t="s">
        <v>35</v>
      </c>
      <c r="R36" s="65" t="s">
        <v>35</v>
      </c>
      <c r="S36" s="65" t="s">
        <v>35</v>
      </c>
    </row>
    <row r="37" spans="1:19" ht="13.5" x14ac:dyDescent="0.25">
      <c r="A37" t="s">
        <v>2</v>
      </c>
      <c r="B37" t="s">
        <v>70</v>
      </c>
      <c r="C37" t="s">
        <v>193</v>
      </c>
      <c r="D37" s="110">
        <v>138862.32999999999</v>
      </c>
      <c r="E37" s="110">
        <v>134997.32999999999</v>
      </c>
      <c r="I37" s="110">
        <v>118823.33</v>
      </c>
      <c r="J37" s="110">
        <v>124864.33</v>
      </c>
      <c r="O37" s="65">
        <v>36</v>
      </c>
      <c r="P37" s="65">
        <v>1</v>
      </c>
      <c r="Q37" s="65" t="s">
        <v>36</v>
      </c>
      <c r="R37" s="65" t="s">
        <v>36</v>
      </c>
      <c r="S37" s="65" t="s">
        <v>36</v>
      </c>
    </row>
    <row r="38" spans="1:19" ht="13.5" x14ac:dyDescent="0.25">
      <c r="A38" t="s">
        <v>2</v>
      </c>
      <c r="B38" t="s">
        <v>70</v>
      </c>
      <c r="C38" t="s">
        <v>194</v>
      </c>
      <c r="D38" s="110">
        <v>127442.01</v>
      </c>
      <c r="I38" s="110">
        <v>111501.01</v>
      </c>
      <c r="O38" s="65">
        <v>37</v>
      </c>
      <c r="P38" s="65">
        <v>1</v>
      </c>
      <c r="Q38" s="65" t="s">
        <v>37</v>
      </c>
      <c r="R38" s="65" t="s">
        <v>37</v>
      </c>
      <c r="S38" s="65" t="s">
        <v>37</v>
      </c>
    </row>
    <row r="39" spans="1:19" ht="13.5" x14ac:dyDescent="0.25">
      <c r="A39" t="s">
        <v>2</v>
      </c>
      <c r="B39" t="s">
        <v>110</v>
      </c>
      <c r="C39" t="s">
        <v>191</v>
      </c>
      <c r="D39" s="110">
        <v>1032942.79</v>
      </c>
      <c r="E39" s="110">
        <v>1032942.79</v>
      </c>
      <c r="F39" s="110">
        <v>1023748.82</v>
      </c>
      <c r="G39" s="110">
        <v>1022156</v>
      </c>
      <c r="I39" s="110">
        <v>593550.24</v>
      </c>
      <c r="J39" s="110">
        <v>918860.82</v>
      </c>
      <c r="K39" s="110">
        <v>968864.6</v>
      </c>
      <c r="L39" s="110">
        <v>986000.48</v>
      </c>
      <c r="O39" s="65">
        <v>38</v>
      </c>
      <c r="P39" s="65">
        <v>1</v>
      </c>
      <c r="Q39" s="65" t="s">
        <v>38</v>
      </c>
      <c r="R39" s="65" t="s">
        <v>38</v>
      </c>
      <c r="S39" s="65" t="s">
        <v>38</v>
      </c>
    </row>
    <row r="40" spans="1:19" ht="13.5" x14ac:dyDescent="0.25">
      <c r="A40" t="s">
        <v>2</v>
      </c>
      <c r="B40" t="s">
        <v>110</v>
      </c>
      <c r="C40" t="s">
        <v>192</v>
      </c>
      <c r="D40" s="110">
        <v>1209759.1000000001</v>
      </c>
      <c r="E40" s="110">
        <v>1147431.54</v>
      </c>
      <c r="F40" s="110">
        <v>1128792.69</v>
      </c>
      <c r="I40" s="110">
        <v>628014.93999999994</v>
      </c>
      <c r="J40" s="110">
        <v>994448.29</v>
      </c>
      <c r="K40" s="110">
        <v>1064055.56</v>
      </c>
      <c r="O40" s="65">
        <v>39</v>
      </c>
      <c r="P40" s="65">
        <v>1</v>
      </c>
      <c r="Q40" s="65" t="s">
        <v>39</v>
      </c>
      <c r="R40" s="65" t="s">
        <v>39</v>
      </c>
      <c r="S40" s="65" t="s">
        <v>39</v>
      </c>
    </row>
    <row r="41" spans="1:19" ht="13.5" x14ac:dyDescent="0.25">
      <c r="A41" t="s">
        <v>2</v>
      </c>
      <c r="B41" t="s">
        <v>110</v>
      </c>
      <c r="C41" t="s">
        <v>193</v>
      </c>
      <c r="D41" s="110">
        <v>1151606.3799999999</v>
      </c>
      <c r="E41" s="110">
        <v>1029196.77</v>
      </c>
      <c r="I41" s="110">
        <v>607686.98</v>
      </c>
      <c r="J41" s="110">
        <v>986000.48</v>
      </c>
      <c r="O41" s="65">
        <v>40</v>
      </c>
      <c r="P41" s="65">
        <v>1</v>
      </c>
      <c r="Q41" s="65" t="s">
        <v>40</v>
      </c>
      <c r="R41" s="65" t="s">
        <v>40</v>
      </c>
      <c r="S41" s="65" t="s">
        <v>40</v>
      </c>
    </row>
    <row r="42" spans="1:19" ht="13.5" x14ac:dyDescent="0.25">
      <c r="A42" t="s">
        <v>2</v>
      </c>
      <c r="B42" t="s">
        <v>110</v>
      </c>
      <c r="C42" t="s">
        <v>194</v>
      </c>
      <c r="D42" s="110">
        <v>1022420.38</v>
      </c>
      <c r="I42" s="110">
        <v>518969.11</v>
      </c>
      <c r="O42" s="65">
        <v>41</v>
      </c>
      <c r="P42" s="65">
        <v>1</v>
      </c>
      <c r="Q42" s="65" t="s">
        <v>41</v>
      </c>
      <c r="R42" s="65" t="s">
        <v>41</v>
      </c>
      <c r="S42" s="65" t="s">
        <v>41</v>
      </c>
    </row>
    <row r="43" spans="1:19" ht="13.5" x14ac:dyDescent="0.25">
      <c r="A43" t="s">
        <v>3</v>
      </c>
      <c r="B43" t="s">
        <v>104</v>
      </c>
      <c r="C43" t="s">
        <v>191</v>
      </c>
      <c r="D43" s="110">
        <v>60582.11</v>
      </c>
      <c r="E43" s="110">
        <v>60582.11</v>
      </c>
      <c r="F43" s="110">
        <v>59843.86</v>
      </c>
      <c r="G43" s="110">
        <v>59843.86</v>
      </c>
      <c r="I43" s="110">
        <v>1441.34</v>
      </c>
      <c r="J43" s="110">
        <v>2572.54</v>
      </c>
      <c r="K43" s="110">
        <v>5509.14</v>
      </c>
      <c r="L43" s="110">
        <v>7368.68</v>
      </c>
      <c r="O43" s="65">
        <v>42</v>
      </c>
      <c r="P43" s="65">
        <v>1</v>
      </c>
      <c r="Q43" s="65" t="s">
        <v>42</v>
      </c>
      <c r="R43" s="65" t="s">
        <v>42</v>
      </c>
      <c r="S43" s="65" t="s">
        <v>42</v>
      </c>
    </row>
    <row r="44" spans="1:19" ht="13.5" x14ac:dyDescent="0.25">
      <c r="A44" t="s">
        <v>3</v>
      </c>
      <c r="B44" t="s">
        <v>104</v>
      </c>
      <c r="C44" t="s">
        <v>192</v>
      </c>
      <c r="D44" s="110">
        <v>100808.13</v>
      </c>
      <c r="E44" s="110">
        <v>100808.13</v>
      </c>
      <c r="F44" s="110">
        <v>100808.13</v>
      </c>
      <c r="I44" s="110">
        <v>2241.1999999999998</v>
      </c>
      <c r="J44" s="110">
        <v>5914.43</v>
      </c>
      <c r="K44" s="110">
        <v>9839.1</v>
      </c>
      <c r="O44" s="65">
        <v>43</v>
      </c>
      <c r="P44" s="65">
        <v>1</v>
      </c>
      <c r="Q44" s="65" t="s">
        <v>43</v>
      </c>
      <c r="R44" s="65" t="s">
        <v>43</v>
      </c>
      <c r="S44" s="65" t="s">
        <v>43</v>
      </c>
    </row>
    <row r="45" spans="1:19" ht="13.5" x14ac:dyDescent="0.25">
      <c r="A45" t="s">
        <v>3</v>
      </c>
      <c r="B45" t="s">
        <v>104</v>
      </c>
      <c r="C45" t="s">
        <v>193</v>
      </c>
      <c r="D45" s="110">
        <v>93513.78</v>
      </c>
      <c r="E45" s="110">
        <v>93513.78</v>
      </c>
      <c r="I45" s="110">
        <v>2842.3</v>
      </c>
      <c r="J45" s="110">
        <v>5822.64</v>
      </c>
      <c r="O45" s="65">
        <v>13</v>
      </c>
      <c r="P45" s="65">
        <v>1</v>
      </c>
      <c r="Q45" s="65" t="s">
        <v>14</v>
      </c>
      <c r="R45" s="65" t="s">
        <v>76</v>
      </c>
      <c r="S45" s="65" t="s">
        <v>76</v>
      </c>
    </row>
    <row r="46" spans="1:19" ht="13.5" x14ac:dyDescent="0.25">
      <c r="A46" t="s">
        <v>3</v>
      </c>
      <c r="B46" t="s">
        <v>104</v>
      </c>
      <c r="C46" t="s">
        <v>194</v>
      </c>
      <c r="D46" s="110">
        <v>152936.31</v>
      </c>
      <c r="I46" s="110">
        <v>1467.36</v>
      </c>
      <c r="O46" s="65">
        <v>44</v>
      </c>
      <c r="P46" s="65">
        <v>1</v>
      </c>
      <c r="Q46" s="65" t="s">
        <v>44</v>
      </c>
      <c r="R46" s="65" t="s">
        <v>44</v>
      </c>
      <c r="S46" s="65" t="s">
        <v>44</v>
      </c>
    </row>
    <row r="47" spans="1:19" ht="13.5" x14ac:dyDescent="0.25">
      <c r="A47" t="s">
        <v>3</v>
      </c>
      <c r="B47" t="s">
        <v>140</v>
      </c>
      <c r="C47" t="s">
        <v>191</v>
      </c>
      <c r="O47" s="65">
        <v>45</v>
      </c>
      <c r="P47" s="65">
        <v>1</v>
      </c>
      <c r="Q47" s="65" t="s">
        <v>45</v>
      </c>
      <c r="R47" s="65" t="s">
        <v>45</v>
      </c>
      <c r="S47" s="65" t="s">
        <v>45</v>
      </c>
    </row>
    <row r="48" spans="1:19" ht="13.5" x14ac:dyDescent="0.25">
      <c r="A48" t="s">
        <v>3</v>
      </c>
      <c r="B48" t="s">
        <v>140</v>
      </c>
      <c r="C48" t="s">
        <v>192</v>
      </c>
      <c r="O48" s="65">
        <v>46</v>
      </c>
      <c r="P48" s="65">
        <v>1</v>
      </c>
      <c r="Q48" s="65" t="s">
        <v>46</v>
      </c>
      <c r="R48" s="65" t="s">
        <v>46</v>
      </c>
      <c r="S48" s="65" t="s">
        <v>46</v>
      </c>
    </row>
    <row r="49" spans="1:19" ht="13.5" x14ac:dyDescent="0.25">
      <c r="A49" t="s">
        <v>3</v>
      </c>
      <c r="B49" t="s">
        <v>140</v>
      </c>
      <c r="C49" t="s">
        <v>193</v>
      </c>
      <c r="D49" s="110">
        <v>560</v>
      </c>
      <c r="E49" s="110">
        <v>560</v>
      </c>
      <c r="O49" s="65">
        <v>47</v>
      </c>
      <c r="P49" s="65">
        <v>1</v>
      </c>
      <c r="Q49" s="65" t="s">
        <v>47</v>
      </c>
      <c r="R49" s="65" t="s">
        <v>47</v>
      </c>
      <c r="S49" s="65" t="s">
        <v>47</v>
      </c>
    </row>
    <row r="50" spans="1:19" ht="13.5" x14ac:dyDescent="0.25">
      <c r="A50" t="s">
        <v>3</v>
      </c>
      <c r="B50" t="s">
        <v>140</v>
      </c>
      <c r="C50" t="s">
        <v>194</v>
      </c>
      <c r="D50" s="110">
        <v>53543</v>
      </c>
      <c r="O50" s="65">
        <v>48</v>
      </c>
      <c r="P50" s="65">
        <v>1</v>
      </c>
      <c r="Q50" s="65" t="s">
        <v>48</v>
      </c>
      <c r="R50" s="65" t="s">
        <v>48</v>
      </c>
      <c r="S50" s="65" t="s">
        <v>48</v>
      </c>
    </row>
    <row r="51" spans="1:19" ht="13.5" x14ac:dyDescent="0.25">
      <c r="A51" t="s">
        <v>3</v>
      </c>
      <c r="B51" t="s">
        <v>105</v>
      </c>
      <c r="C51" t="s">
        <v>191</v>
      </c>
      <c r="D51" s="110">
        <v>29333.5</v>
      </c>
      <c r="E51" s="110">
        <v>29333.5</v>
      </c>
      <c r="F51" s="110">
        <v>29333.5</v>
      </c>
      <c r="G51" s="110">
        <v>29333.5</v>
      </c>
      <c r="I51" s="110">
        <v>4891.93</v>
      </c>
      <c r="J51" s="110">
        <v>7968.01</v>
      </c>
      <c r="K51" s="110">
        <v>8827.23</v>
      </c>
      <c r="L51" s="110">
        <v>9035.73</v>
      </c>
      <c r="O51" s="65">
        <v>49</v>
      </c>
      <c r="P51" s="65">
        <v>1</v>
      </c>
      <c r="Q51" s="65" t="s">
        <v>49</v>
      </c>
      <c r="R51" s="65" t="s">
        <v>49</v>
      </c>
      <c r="S51" s="65" t="s">
        <v>49</v>
      </c>
    </row>
    <row r="52" spans="1:19" ht="13.5" x14ac:dyDescent="0.25">
      <c r="A52" t="s">
        <v>3</v>
      </c>
      <c r="B52" t="s">
        <v>105</v>
      </c>
      <c r="C52" t="s">
        <v>192</v>
      </c>
      <c r="D52" s="110">
        <v>34139.5</v>
      </c>
      <c r="E52" s="110">
        <v>34060.5</v>
      </c>
      <c r="F52" s="110">
        <v>34060.5</v>
      </c>
      <c r="I52" s="110">
        <v>6090.5</v>
      </c>
      <c r="J52" s="110">
        <v>9121.56</v>
      </c>
      <c r="K52" s="110">
        <v>11248.03</v>
      </c>
      <c r="O52" s="65">
        <v>50</v>
      </c>
      <c r="P52" s="65">
        <v>1</v>
      </c>
      <c r="Q52" s="65" t="s">
        <v>50</v>
      </c>
      <c r="R52" s="65" t="s">
        <v>50</v>
      </c>
      <c r="S52" s="65" t="s">
        <v>50</v>
      </c>
    </row>
    <row r="53" spans="1:19" ht="13.5" x14ac:dyDescent="0.25">
      <c r="A53" t="s">
        <v>3</v>
      </c>
      <c r="B53" t="s">
        <v>105</v>
      </c>
      <c r="C53" t="s">
        <v>193</v>
      </c>
      <c r="D53" s="110">
        <v>32430</v>
      </c>
      <c r="E53" s="110">
        <v>32430</v>
      </c>
      <c r="I53" s="110">
        <v>3076.87</v>
      </c>
      <c r="J53" s="110">
        <v>5712.01</v>
      </c>
      <c r="O53" s="65">
        <v>51</v>
      </c>
      <c r="P53" s="65">
        <v>1</v>
      </c>
      <c r="Q53" s="65" t="s">
        <v>51</v>
      </c>
      <c r="R53" s="65" t="s">
        <v>51</v>
      </c>
      <c r="S53" s="65" t="s">
        <v>51</v>
      </c>
    </row>
    <row r="54" spans="1:19" ht="13.5" x14ac:dyDescent="0.25">
      <c r="A54" t="s">
        <v>3</v>
      </c>
      <c r="B54" t="s">
        <v>105</v>
      </c>
      <c r="C54" t="s">
        <v>194</v>
      </c>
      <c r="D54" s="110">
        <v>36377.5</v>
      </c>
      <c r="I54" s="110">
        <v>3356.5</v>
      </c>
      <c r="O54" s="65">
        <v>52</v>
      </c>
      <c r="P54" s="65">
        <v>1</v>
      </c>
      <c r="Q54" s="65" t="s">
        <v>52</v>
      </c>
      <c r="R54" s="65" t="s">
        <v>52</v>
      </c>
      <c r="S54" s="65" t="s">
        <v>52</v>
      </c>
    </row>
    <row r="55" spans="1:19" ht="13.5" x14ac:dyDescent="0.25">
      <c r="A55" t="s">
        <v>3</v>
      </c>
      <c r="B55" t="s">
        <v>111</v>
      </c>
      <c r="C55" t="s">
        <v>191</v>
      </c>
      <c r="D55" s="110">
        <v>3463</v>
      </c>
      <c r="E55" s="110">
        <v>3463</v>
      </c>
      <c r="F55" s="110">
        <v>3463</v>
      </c>
      <c r="G55" s="110">
        <v>3463</v>
      </c>
      <c r="I55" s="110">
        <v>449.5</v>
      </c>
      <c r="J55" s="110">
        <v>619.5</v>
      </c>
      <c r="K55" s="110">
        <v>902.5</v>
      </c>
      <c r="L55" s="110">
        <v>1255.5</v>
      </c>
      <c r="O55" s="65">
        <v>53</v>
      </c>
      <c r="P55" s="65">
        <v>1</v>
      </c>
      <c r="Q55" s="65" t="s">
        <v>53</v>
      </c>
      <c r="R55" s="65" t="s">
        <v>53</v>
      </c>
      <c r="S55" s="65" t="s">
        <v>53</v>
      </c>
    </row>
    <row r="56" spans="1:19" ht="13.5" x14ac:dyDescent="0.25">
      <c r="A56" t="s">
        <v>3</v>
      </c>
      <c r="B56" t="s">
        <v>111</v>
      </c>
      <c r="C56" t="s">
        <v>192</v>
      </c>
      <c r="D56" s="110">
        <v>1349.5</v>
      </c>
      <c r="E56" s="110">
        <v>1349.5</v>
      </c>
      <c r="F56" s="110">
        <v>1349.5</v>
      </c>
      <c r="I56" s="110">
        <v>760.5</v>
      </c>
      <c r="J56" s="110">
        <v>810.5</v>
      </c>
      <c r="K56" s="110">
        <v>810.5</v>
      </c>
      <c r="O56" s="65">
        <v>54</v>
      </c>
      <c r="P56" s="65">
        <v>1</v>
      </c>
      <c r="Q56" s="65" t="s">
        <v>54</v>
      </c>
      <c r="R56" s="65" t="s">
        <v>54</v>
      </c>
      <c r="S56" s="65" t="s">
        <v>54</v>
      </c>
    </row>
    <row r="57" spans="1:19" ht="13.5" x14ac:dyDescent="0.25">
      <c r="A57" t="s">
        <v>3</v>
      </c>
      <c r="B57" t="s">
        <v>111</v>
      </c>
      <c r="C57" t="s">
        <v>193</v>
      </c>
      <c r="D57" s="110">
        <v>5132</v>
      </c>
      <c r="E57" s="110">
        <v>5032</v>
      </c>
      <c r="I57" s="110">
        <v>184</v>
      </c>
      <c r="J57" s="110">
        <v>3177</v>
      </c>
      <c r="O57" s="65">
        <v>58</v>
      </c>
      <c r="P57" s="65">
        <v>1</v>
      </c>
      <c r="Q57" s="65" t="s">
        <v>58</v>
      </c>
      <c r="R57" s="65" t="s">
        <v>77</v>
      </c>
      <c r="S57" s="65" t="s">
        <v>77</v>
      </c>
    </row>
    <row r="58" spans="1:19" ht="13.5" x14ac:dyDescent="0.25">
      <c r="A58" t="s">
        <v>3</v>
      </c>
      <c r="B58" t="s">
        <v>111</v>
      </c>
      <c r="C58" t="s">
        <v>194</v>
      </c>
      <c r="D58" s="110">
        <v>3939</v>
      </c>
      <c r="O58" s="65">
        <v>59</v>
      </c>
      <c r="P58" s="65">
        <v>1</v>
      </c>
      <c r="Q58" s="65" t="s">
        <v>59</v>
      </c>
      <c r="R58" s="65" t="s">
        <v>78</v>
      </c>
      <c r="S58" s="65" t="s">
        <v>78</v>
      </c>
    </row>
    <row r="59" spans="1:19" ht="13.5" x14ac:dyDescent="0.25">
      <c r="A59" t="s">
        <v>3</v>
      </c>
      <c r="B59" t="s">
        <v>109</v>
      </c>
      <c r="C59" t="s">
        <v>191</v>
      </c>
      <c r="D59" s="110">
        <v>33286.379999999997</v>
      </c>
      <c r="E59" s="110">
        <v>33286.379999999997</v>
      </c>
      <c r="F59" s="110">
        <v>33286.379999999997</v>
      </c>
      <c r="G59" s="110">
        <v>33286.379999999997</v>
      </c>
      <c r="I59" s="110">
        <v>5437.5</v>
      </c>
      <c r="J59" s="110">
        <v>7517.5</v>
      </c>
      <c r="K59" s="110">
        <v>10099.5</v>
      </c>
      <c r="L59" s="110">
        <v>12161.5</v>
      </c>
      <c r="O59" s="65">
        <v>55</v>
      </c>
      <c r="P59" s="65">
        <v>1</v>
      </c>
      <c r="Q59" s="65" t="s">
        <v>55</v>
      </c>
      <c r="R59" s="65" t="s">
        <v>55</v>
      </c>
      <c r="S59" s="65" t="s">
        <v>55</v>
      </c>
    </row>
    <row r="60" spans="1:19" ht="13.5" x14ac:dyDescent="0.25">
      <c r="A60" t="s">
        <v>3</v>
      </c>
      <c r="B60" t="s">
        <v>109</v>
      </c>
      <c r="C60" t="s">
        <v>192</v>
      </c>
      <c r="D60" s="110">
        <v>38363.35</v>
      </c>
      <c r="E60" s="110">
        <v>38363.35</v>
      </c>
      <c r="F60" s="110">
        <v>38363.35</v>
      </c>
      <c r="I60" s="110">
        <v>8525</v>
      </c>
      <c r="J60" s="110">
        <v>13667.4</v>
      </c>
      <c r="K60" s="110">
        <v>16692.400000000001</v>
      </c>
      <c r="O60" s="65">
        <v>56</v>
      </c>
      <c r="P60" s="65">
        <v>1</v>
      </c>
      <c r="Q60" s="65" t="s">
        <v>56</v>
      </c>
      <c r="R60" s="65" t="s">
        <v>56</v>
      </c>
      <c r="S60" s="65" t="s">
        <v>56</v>
      </c>
    </row>
    <row r="61" spans="1:19" ht="13.5" x14ac:dyDescent="0.25">
      <c r="A61" t="s">
        <v>3</v>
      </c>
      <c r="B61" t="s">
        <v>109</v>
      </c>
      <c r="C61" t="s">
        <v>193</v>
      </c>
      <c r="D61" s="110">
        <v>40555.5</v>
      </c>
      <c r="E61" s="110">
        <v>40555.5</v>
      </c>
      <c r="I61" s="110">
        <v>9655.66</v>
      </c>
      <c r="J61" s="110">
        <v>16127.9</v>
      </c>
      <c r="O61" s="65">
        <v>57</v>
      </c>
      <c r="P61" s="65">
        <v>1</v>
      </c>
      <c r="Q61" s="65" t="s">
        <v>57</v>
      </c>
      <c r="R61" s="65" t="s">
        <v>57</v>
      </c>
      <c r="S61" s="65" t="s">
        <v>57</v>
      </c>
    </row>
    <row r="62" spans="1:19" ht="13.5" x14ac:dyDescent="0.25">
      <c r="A62" t="s">
        <v>3</v>
      </c>
      <c r="B62" t="s">
        <v>109</v>
      </c>
      <c r="C62" t="s">
        <v>194</v>
      </c>
      <c r="D62" s="110">
        <v>37174.5</v>
      </c>
      <c r="I62" s="110">
        <v>10115</v>
      </c>
      <c r="O62" s="65">
        <v>60</v>
      </c>
      <c r="P62" s="65">
        <v>1</v>
      </c>
      <c r="Q62" s="65" t="s">
        <v>60</v>
      </c>
      <c r="R62" s="65" t="s">
        <v>60</v>
      </c>
      <c r="S62" s="65" t="s">
        <v>60</v>
      </c>
    </row>
    <row r="63" spans="1:19" ht="13.5" x14ac:dyDescent="0.25">
      <c r="A63" t="s">
        <v>3</v>
      </c>
      <c r="B63" t="s">
        <v>106</v>
      </c>
      <c r="C63" t="s">
        <v>191</v>
      </c>
      <c r="D63" s="110">
        <v>19849.43</v>
      </c>
      <c r="E63" s="110">
        <v>19849.43</v>
      </c>
      <c r="F63" s="110">
        <v>19849.43</v>
      </c>
      <c r="G63" s="110">
        <v>19849.43</v>
      </c>
      <c r="I63" s="110">
        <v>19849.43</v>
      </c>
      <c r="J63" s="110">
        <v>19849.43</v>
      </c>
      <c r="K63" s="110">
        <v>19849.43</v>
      </c>
      <c r="L63" s="110">
        <v>19849.43</v>
      </c>
      <c r="O63" s="65">
        <v>61</v>
      </c>
      <c r="P63" s="65">
        <v>1</v>
      </c>
      <c r="Q63" s="65" t="s">
        <v>61</v>
      </c>
      <c r="R63" s="65" t="s">
        <v>61</v>
      </c>
      <c r="S63" s="65" t="s">
        <v>61</v>
      </c>
    </row>
    <row r="64" spans="1:19" ht="13.5" x14ac:dyDescent="0.25">
      <c r="A64" t="s">
        <v>3</v>
      </c>
      <c r="B64" t="s">
        <v>106</v>
      </c>
      <c r="C64" t="s">
        <v>192</v>
      </c>
      <c r="D64" s="110">
        <v>21824.22</v>
      </c>
      <c r="E64" s="110">
        <v>21824.22</v>
      </c>
      <c r="F64" s="110">
        <v>21824.22</v>
      </c>
      <c r="I64" s="110">
        <v>21489.79</v>
      </c>
      <c r="J64" s="110">
        <v>21489.79</v>
      </c>
      <c r="K64" s="110">
        <v>21489.79</v>
      </c>
      <c r="O64" s="65">
        <v>62</v>
      </c>
      <c r="P64" s="65">
        <v>1</v>
      </c>
      <c r="Q64" s="65" t="s">
        <v>62</v>
      </c>
      <c r="R64" s="65" t="s">
        <v>62</v>
      </c>
      <c r="S64" s="65" t="s">
        <v>62</v>
      </c>
    </row>
    <row r="65" spans="1:19" ht="13.5" x14ac:dyDescent="0.25">
      <c r="A65" t="s">
        <v>3</v>
      </c>
      <c r="B65" t="s">
        <v>106</v>
      </c>
      <c r="C65" t="s">
        <v>193</v>
      </c>
      <c r="D65" s="110">
        <v>25513.67</v>
      </c>
      <c r="E65" s="110">
        <v>25513.67</v>
      </c>
      <c r="I65" s="110">
        <v>25093.67</v>
      </c>
      <c r="J65" s="110">
        <v>25093.67</v>
      </c>
      <c r="O65" s="65">
        <v>63</v>
      </c>
      <c r="P65" s="65">
        <v>1</v>
      </c>
      <c r="Q65" s="65" t="s">
        <v>63</v>
      </c>
      <c r="R65" s="65" t="s">
        <v>63</v>
      </c>
      <c r="S65" s="65" t="s">
        <v>63</v>
      </c>
    </row>
    <row r="66" spans="1:19" ht="13.5" x14ac:dyDescent="0.25">
      <c r="A66" t="s">
        <v>3</v>
      </c>
      <c r="B66" t="s">
        <v>106</v>
      </c>
      <c r="C66" t="s">
        <v>194</v>
      </c>
      <c r="D66" s="110">
        <v>33559.269999999997</v>
      </c>
      <c r="I66" s="110">
        <v>32159.27</v>
      </c>
      <c r="O66" s="65">
        <v>64</v>
      </c>
      <c r="P66" s="65">
        <v>1</v>
      </c>
      <c r="Q66" s="65" t="s">
        <v>64</v>
      </c>
      <c r="R66" s="65" t="s">
        <v>64</v>
      </c>
      <c r="S66" s="65" t="s">
        <v>64</v>
      </c>
    </row>
    <row r="67" spans="1:19" ht="13.5" x14ac:dyDescent="0.25">
      <c r="A67" t="s">
        <v>3</v>
      </c>
      <c r="B67" t="s">
        <v>107</v>
      </c>
      <c r="C67" t="s">
        <v>191</v>
      </c>
      <c r="D67" s="110">
        <v>25332</v>
      </c>
      <c r="E67" s="110">
        <v>25332</v>
      </c>
      <c r="F67" s="110">
        <v>25332</v>
      </c>
      <c r="G67" s="110">
        <v>25332</v>
      </c>
      <c r="I67" s="110">
        <v>25147</v>
      </c>
      <c r="J67" s="110">
        <v>25147</v>
      </c>
      <c r="K67" s="110">
        <v>25147</v>
      </c>
      <c r="L67" s="110">
        <v>25147</v>
      </c>
      <c r="O67" s="65">
        <v>65</v>
      </c>
      <c r="P67" s="65">
        <v>1</v>
      </c>
      <c r="Q67" s="65" t="s">
        <v>65</v>
      </c>
      <c r="R67" s="65" t="s">
        <v>65</v>
      </c>
      <c r="S67" s="65" t="s">
        <v>65</v>
      </c>
    </row>
    <row r="68" spans="1:19" ht="13.5" x14ac:dyDescent="0.25">
      <c r="A68" t="s">
        <v>3</v>
      </c>
      <c r="B68" t="s">
        <v>107</v>
      </c>
      <c r="C68" t="s">
        <v>192</v>
      </c>
      <c r="D68" s="110">
        <v>19916</v>
      </c>
      <c r="E68" s="110">
        <v>19916</v>
      </c>
      <c r="F68" s="110">
        <v>19916</v>
      </c>
      <c r="I68" s="110">
        <v>19316</v>
      </c>
      <c r="J68" s="110">
        <v>19316</v>
      </c>
      <c r="K68" s="110">
        <v>19316</v>
      </c>
      <c r="O68" s="65">
        <v>66</v>
      </c>
      <c r="P68" s="65">
        <v>1</v>
      </c>
      <c r="Q68" s="65" t="s">
        <v>66</v>
      </c>
      <c r="R68" s="65" t="s">
        <v>66</v>
      </c>
      <c r="S68" s="65" t="s">
        <v>66</v>
      </c>
    </row>
    <row r="69" spans="1:19" ht="13.5" x14ac:dyDescent="0.25">
      <c r="A69" t="s">
        <v>3</v>
      </c>
      <c r="B69" t="s">
        <v>107</v>
      </c>
      <c r="C69" t="s">
        <v>193</v>
      </c>
      <c r="D69" s="110">
        <v>24060</v>
      </c>
      <c r="E69" s="110">
        <v>24060</v>
      </c>
      <c r="I69" s="110">
        <v>23910</v>
      </c>
      <c r="J69" s="110">
        <v>23910</v>
      </c>
      <c r="O69" s="65">
        <v>67</v>
      </c>
      <c r="P69" s="65">
        <v>1</v>
      </c>
      <c r="Q69" s="65" t="s">
        <v>67</v>
      </c>
      <c r="R69" s="65" t="s">
        <v>67</v>
      </c>
      <c r="S69" s="65" t="s">
        <v>67</v>
      </c>
    </row>
    <row r="70" spans="1:19" x14ac:dyDescent="0.2">
      <c r="A70" t="s">
        <v>3</v>
      </c>
      <c r="B70" t="s">
        <v>107</v>
      </c>
      <c r="C70" t="s">
        <v>194</v>
      </c>
      <c r="D70" s="110">
        <v>28335</v>
      </c>
      <c r="I70" s="110">
        <v>28335</v>
      </c>
    </row>
    <row r="71" spans="1:19" x14ac:dyDescent="0.2">
      <c r="A71" t="s">
        <v>3</v>
      </c>
      <c r="B71" t="s">
        <v>108</v>
      </c>
      <c r="C71" t="s">
        <v>191</v>
      </c>
      <c r="D71" s="110">
        <v>3983</v>
      </c>
      <c r="E71" s="110">
        <v>3983</v>
      </c>
      <c r="F71" s="110">
        <v>3983</v>
      </c>
      <c r="G71" s="110">
        <v>3983</v>
      </c>
      <c r="I71" s="110">
        <v>3983</v>
      </c>
      <c r="J71" s="110">
        <v>3983</v>
      </c>
      <c r="K71" s="110">
        <v>3983</v>
      </c>
      <c r="L71" s="110">
        <v>3983</v>
      </c>
    </row>
    <row r="72" spans="1:19" x14ac:dyDescent="0.2">
      <c r="A72" t="s">
        <v>3</v>
      </c>
      <c r="B72" t="s">
        <v>108</v>
      </c>
      <c r="C72" t="s">
        <v>192</v>
      </c>
      <c r="D72" s="110">
        <v>5956</v>
      </c>
      <c r="E72" s="110">
        <v>5956</v>
      </c>
      <c r="F72" s="110">
        <v>5956</v>
      </c>
      <c r="I72" s="110">
        <v>5956</v>
      </c>
      <c r="J72" s="110">
        <v>5956</v>
      </c>
      <c r="K72" s="110">
        <v>5956</v>
      </c>
    </row>
    <row r="73" spans="1:19" x14ac:dyDescent="0.2">
      <c r="A73" t="s">
        <v>3</v>
      </c>
      <c r="B73" t="s">
        <v>108</v>
      </c>
      <c r="C73" t="s">
        <v>193</v>
      </c>
      <c r="D73" s="110">
        <v>7380</v>
      </c>
      <c r="E73" s="110">
        <v>7380</v>
      </c>
      <c r="I73" s="110">
        <v>7380</v>
      </c>
      <c r="J73" s="110">
        <v>7380</v>
      </c>
    </row>
    <row r="74" spans="1:19" x14ac:dyDescent="0.2">
      <c r="A74" t="s">
        <v>3</v>
      </c>
      <c r="B74" t="s">
        <v>108</v>
      </c>
      <c r="C74" t="s">
        <v>194</v>
      </c>
      <c r="D74" s="110">
        <v>4931</v>
      </c>
      <c r="I74" s="110">
        <v>4931</v>
      </c>
    </row>
    <row r="75" spans="1:19" x14ac:dyDescent="0.2">
      <c r="A75" t="s">
        <v>3</v>
      </c>
      <c r="B75" t="s">
        <v>70</v>
      </c>
      <c r="C75" t="s">
        <v>191</v>
      </c>
      <c r="D75" s="110">
        <v>18609</v>
      </c>
      <c r="E75" s="110">
        <v>18609</v>
      </c>
      <c r="F75" s="110">
        <v>18609</v>
      </c>
      <c r="G75" s="110">
        <v>18609</v>
      </c>
      <c r="I75" s="110">
        <v>16967</v>
      </c>
      <c r="J75" s="110">
        <v>16967</v>
      </c>
      <c r="K75" s="110">
        <v>16967</v>
      </c>
      <c r="L75" s="110">
        <v>16967</v>
      </c>
    </row>
    <row r="76" spans="1:19" x14ac:dyDescent="0.2">
      <c r="A76" t="s">
        <v>3</v>
      </c>
      <c r="B76" t="s">
        <v>70</v>
      </c>
      <c r="C76" t="s">
        <v>192</v>
      </c>
      <c r="D76" s="110">
        <v>23671</v>
      </c>
      <c r="E76" s="110">
        <v>23671</v>
      </c>
      <c r="F76" s="110">
        <v>23671</v>
      </c>
      <c r="I76" s="110">
        <v>23371</v>
      </c>
      <c r="J76" s="110">
        <v>23371</v>
      </c>
      <c r="K76" s="110">
        <v>23391</v>
      </c>
    </row>
    <row r="77" spans="1:19" x14ac:dyDescent="0.2">
      <c r="A77" t="s">
        <v>3</v>
      </c>
      <c r="B77" t="s">
        <v>70</v>
      </c>
      <c r="C77" t="s">
        <v>193</v>
      </c>
      <c r="D77" s="110">
        <v>26976</v>
      </c>
      <c r="E77" s="110">
        <v>26976</v>
      </c>
      <c r="I77" s="110">
        <v>26175</v>
      </c>
      <c r="J77" s="110">
        <v>26175</v>
      </c>
    </row>
    <row r="78" spans="1:19" x14ac:dyDescent="0.2">
      <c r="A78" t="s">
        <v>3</v>
      </c>
      <c r="B78" t="s">
        <v>70</v>
      </c>
      <c r="C78" t="s">
        <v>194</v>
      </c>
      <c r="D78" s="110">
        <v>20771</v>
      </c>
      <c r="I78" s="110">
        <v>20053</v>
      </c>
    </row>
    <row r="79" spans="1:19" x14ac:dyDescent="0.2">
      <c r="A79" t="s">
        <v>3</v>
      </c>
      <c r="B79" t="s">
        <v>110</v>
      </c>
      <c r="C79" t="s">
        <v>191</v>
      </c>
      <c r="D79" s="110">
        <v>80684.7</v>
      </c>
      <c r="E79" s="110">
        <v>73098.7</v>
      </c>
      <c r="F79" s="110">
        <v>72051.7</v>
      </c>
      <c r="G79" s="110">
        <v>71648.7</v>
      </c>
      <c r="I79" s="110">
        <v>18194.7</v>
      </c>
      <c r="J79" s="110">
        <v>53570.7</v>
      </c>
      <c r="K79" s="110">
        <v>58792.7</v>
      </c>
      <c r="L79" s="110">
        <v>59865.7</v>
      </c>
    </row>
    <row r="80" spans="1:19" x14ac:dyDescent="0.2">
      <c r="A80" t="s">
        <v>3</v>
      </c>
      <c r="B80" t="s">
        <v>110</v>
      </c>
      <c r="C80" t="s">
        <v>192</v>
      </c>
      <c r="D80" s="110">
        <v>86286.34</v>
      </c>
      <c r="E80" s="110">
        <v>80351.34</v>
      </c>
      <c r="F80" s="110">
        <v>78977.34</v>
      </c>
      <c r="I80" s="110">
        <v>20929.400000000001</v>
      </c>
      <c r="J80" s="110">
        <v>50954.400000000001</v>
      </c>
      <c r="K80" s="110">
        <v>56054.400000000001</v>
      </c>
    </row>
    <row r="81" spans="1:12" x14ac:dyDescent="0.2">
      <c r="A81" t="s">
        <v>3</v>
      </c>
      <c r="B81" t="s">
        <v>110</v>
      </c>
      <c r="C81" t="s">
        <v>193</v>
      </c>
      <c r="D81" s="110">
        <v>100388.5</v>
      </c>
      <c r="E81" s="110">
        <v>97164</v>
      </c>
      <c r="I81" s="110">
        <v>21682</v>
      </c>
      <c r="J81" s="110">
        <v>66508</v>
      </c>
    </row>
    <row r="82" spans="1:12" x14ac:dyDescent="0.2">
      <c r="A82" t="s">
        <v>3</v>
      </c>
      <c r="B82" t="s">
        <v>110</v>
      </c>
      <c r="C82" t="s">
        <v>194</v>
      </c>
      <c r="D82" s="110">
        <v>105922.9</v>
      </c>
      <c r="I82" s="110">
        <v>24973.9</v>
      </c>
    </row>
    <row r="83" spans="1:12" x14ac:dyDescent="0.2">
      <c r="A83" t="s">
        <v>4</v>
      </c>
      <c r="B83" t="s">
        <v>104</v>
      </c>
      <c r="C83" t="s">
        <v>191</v>
      </c>
      <c r="D83" s="110">
        <v>1011499.56</v>
      </c>
      <c r="E83" s="110">
        <v>1011499.56</v>
      </c>
      <c r="F83" s="110">
        <v>1009960.56</v>
      </c>
      <c r="G83" s="110">
        <v>1009960.56</v>
      </c>
      <c r="I83" s="110">
        <v>38686.58</v>
      </c>
      <c r="J83" s="110">
        <v>50015.34</v>
      </c>
      <c r="K83" s="110">
        <v>50015.34</v>
      </c>
      <c r="L83" s="110">
        <v>64332.85</v>
      </c>
    </row>
    <row r="84" spans="1:12" x14ac:dyDescent="0.2">
      <c r="A84" t="s">
        <v>4</v>
      </c>
      <c r="B84" t="s">
        <v>104</v>
      </c>
      <c r="C84" t="s">
        <v>192</v>
      </c>
      <c r="D84" s="110">
        <v>925623.14</v>
      </c>
      <c r="E84" s="110">
        <v>926999.14</v>
      </c>
      <c r="F84" s="110">
        <v>926999.14</v>
      </c>
      <c r="I84" s="110">
        <v>43108.29</v>
      </c>
      <c r="J84" s="110">
        <v>43108.29</v>
      </c>
      <c r="K84" s="110">
        <v>52992.85</v>
      </c>
    </row>
    <row r="85" spans="1:12" x14ac:dyDescent="0.2">
      <c r="A85" t="s">
        <v>4</v>
      </c>
      <c r="B85" t="s">
        <v>104</v>
      </c>
      <c r="C85" t="s">
        <v>193</v>
      </c>
      <c r="D85" s="110">
        <v>1421646.6</v>
      </c>
      <c r="E85" s="110">
        <v>1421298.6</v>
      </c>
      <c r="I85" s="110">
        <v>23586.82</v>
      </c>
      <c r="J85" s="110">
        <v>41531.440000000002</v>
      </c>
    </row>
    <row r="86" spans="1:12" x14ac:dyDescent="0.2">
      <c r="A86" t="s">
        <v>4</v>
      </c>
      <c r="B86" t="s">
        <v>104</v>
      </c>
      <c r="C86" t="s">
        <v>194</v>
      </c>
      <c r="D86" s="110">
        <v>963057.12</v>
      </c>
      <c r="I86" s="110">
        <v>26671.4</v>
      </c>
    </row>
    <row r="87" spans="1:12" x14ac:dyDescent="0.2">
      <c r="A87" t="s">
        <v>4</v>
      </c>
      <c r="B87" t="s">
        <v>140</v>
      </c>
      <c r="C87" t="s">
        <v>191</v>
      </c>
      <c r="D87" s="110">
        <v>310173</v>
      </c>
      <c r="E87" s="110">
        <v>310173</v>
      </c>
      <c r="F87" s="110">
        <v>310173</v>
      </c>
      <c r="G87" s="110">
        <v>310173</v>
      </c>
      <c r="I87" s="110">
        <v>168</v>
      </c>
      <c r="J87" s="110">
        <v>168</v>
      </c>
      <c r="K87" s="110">
        <v>168</v>
      </c>
      <c r="L87" s="110">
        <v>168</v>
      </c>
    </row>
    <row r="88" spans="1:12" x14ac:dyDescent="0.2">
      <c r="A88" t="s">
        <v>4</v>
      </c>
      <c r="B88" t="s">
        <v>140</v>
      </c>
      <c r="C88" t="s">
        <v>192</v>
      </c>
      <c r="D88" s="110">
        <v>107531</v>
      </c>
      <c r="E88" s="110">
        <v>107531</v>
      </c>
      <c r="F88" s="110">
        <v>107531</v>
      </c>
      <c r="I88" s="110">
        <v>102</v>
      </c>
      <c r="J88" s="110">
        <v>102</v>
      </c>
      <c r="K88" s="110">
        <v>102</v>
      </c>
    </row>
    <row r="89" spans="1:12" x14ac:dyDescent="0.2">
      <c r="A89" t="s">
        <v>4</v>
      </c>
      <c r="B89" t="s">
        <v>140</v>
      </c>
      <c r="C89" t="s">
        <v>193</v>
      </c>
      <c r="D89" s="110">
        <v>363949</v>
      </c>
      <c r="E89" s="110">
        <v>363949</v>
      </c>
      <c r="I89" s="110">
        <v>7</v>
      </c>
      <c r="J89" s="110">
        <v>14</v>
      </c>
    </row>
    <row r="90" spans="1:12" x14ac:dyDescent="0.2">
      <c r="A90" t="s">
        <v>4</v>
      </c>
      <c r="B90" t="s">
        <v>140</v>
      </c>
      <c r="C90" t="s">
        <v>194</v>
      </c>
      <c r="D90" s="110">
        <v>101417</v>
      </c>
      <c r="I90" s="110">
        <v>46</v>
      </c>
    </row>
    <row r="91" spans="1:12" x14ac:dyDescent="0.2">
      <c r="A91" t="s">
        <v>4</v>
      </c>
      <c r="B91" t="s">
        <v>105</v>
      </c>
      <c r="C91" t="s">
        <v>191</v>
      </c>
      <c r="D91" s="110">
        <v>606275.65</v>
      </c>
      <c r="E91" s="110">
        <v>601435.65</v>
      </c>
      <c r="F91" s="110">
        <v>599363.97</v>
      </c>
      <c r="G91" s="110">
        <v>598263.97</v>
      </c>
      <c r="I91" s="110">
        <v>79723.199999999997</v>
      </c>
      <c r="J91" s="110">
        <v>125252.89</v>
      </c>
      <c r="K91" s="110">
        <v>125252.89</v>
      </c>
      <c r="L91" s="110">
        <v>160039.29</v>
      </c>
    </row>
    <row r="92" spans="1:12" x14ac:dyDescent="0.2">
      <c r="A92" t="s">
        <v>4</v>
      </c>
      <c r="B92" t="s">
        <v>105</v>
      </c>
      <c r="C92" t="s">
        <v>192</v>
      </c>
      <c r="D92" s="110">
        <v>650446.81000000006</v>
      </c>
      <c r="E92" s="110">
        <v>648708.22</v>
      </c>
      <c r="F92" s="110">
        <v>643866.37</v>
      </c>
      <c r="I92" s="110">
        <v>100333.55</v>
      </c>
      <c r="J92" s="110">
        <v>100333.55</v>
      </c>
      <c r="K92" s="110">
        <v>149903.15</v>
      </c>
    </row>
    <row r="93" spans="1:12" x14ac:dyDescent="0.2">
      <c r="A93" t="s">
        <v>4</v>
      </c>
      <c r="B93" t="s">
        <v>105</v>
      </c>
      <c r="C93" t="s">
        <v>193</v>
      </c>
      <c r="D93" s="110">
        <v>715982.51</v>
      </c>
      <c r="E93" s="110">
        <v>712443.51</v>
      </c>
      <c r="I93" s="110">
        <v>55807.25</v>
      </c>
      <c r="J93" s="110">
        <v>98696.58</v>
      </c>
    </row>
    <row r="94" spans="1:12" x14ac:dyDescent="0.2">
      <c r="A94" t="s">
        <v>4</v>
      </c>
      <c r="B94" t="s">
        <v>105</v>
      </c>
      <c r="C94" t="s">
        <v>194</v>
      </c>
      <c r="D94" s="110">
        <v>791774.11</v>
      </c>
      <c r="I94" s="110">
        <v>69410.399999999994</v>
      </c>
    </row>
    <row r="95" spans="1:12" x14ac:dyDescent="0.2">
      <c r="A95" t="s">
        <v>4</v>
      </c>
      <c r="B95" t="s">
        <v>111</v>
      </c>
      <c r="C95" t="s">
        <v>191</v>
      </c>
      <c r="D95" s="110">
        <v>10002</v>
      </c>
      <c r="E95" s="110">
        <v>10002</v>
      </c>
      <c r="F95" s="110">
        <v>10002</v>
      </c>
      <c r="G95" s="110">
        <v>10002</v>
      </c>
      <c r="I95" s="110">
        <v>2062</v>
      </c>
      <c r="J95" s="110">
        <v>2769</v>
      </c>
      <c r="K95" s="110">
        <v>2769</v>
      </c>
      <c r="L95" s="110">
        <v>3089</v>
      </c>
    </row>
    <row r="96" spans="1:12" x14ac:dyDescent="0.2">
      <c r="A96" t="s">
        <v>4</v>
      </c>
      <c r="B96" t="s">
        <v>111</v>
      </c>
      <c r="C96" t="s">
        <v>192</v>
      </c>
      <c r="D96" s="110">
        <v>13617.5</v>
      </c>
      <c r="E96" s="110">
        <v>13497.5</v>
      </c>
      <c r="F96" s="110">
        <v>13497.5</v>
      </c>
      <c r="I96" s="110">
        <v>3155.5</v>
      </c>
      <c r="J96" s="110">
        <v>3155.5</v>
      </c>
      <c r="K96" s="110">
        <v>3684.5</v>
      </c>
    </row>
    <row r="97" spans="1:12" x14ac:dyDescent="0.2">
      <c r="A97" t="s">
        <v>4</v>
      </c>
      <c r="B97" t="s">
        <v>111</v>
      </c>
      <c r="C97" t="s">
        <v>193</v>
      </c>
      <c r="D97" s="110">
        <v>25446</v>
      </c>
      <c r="E97" s="110">
        <v>25446</v>
      </c>
      <c r="I97" s="110">
        <v>3328</v>
      </c>
      <c r="J97" s="110">
        <v>5018</v>
      </c>
    </row>
    <row r="98" spans="1:12" x14ac:dyDescent="0.2">
      <c r="A98" t="s">
        <v>4</v>
      </c>
      <c r="B98" t="s">
        <v>111</v>
      </c>
      <c r="C98" t="s">
        <v>194</v>
      </c>
      <c r="D98" s="110">
        <v>15141</v>
      </c>
      <c r="I98" s="110">
        <v>2300</v>
      </c>
    </row>
    <row r="99" spans="1:12" x14ac:dyDescent="0.2">
      <c r="A99" t="s">
        <v>4</v>
      </c>
      <c r="B99" t="s">
        <v>109</v>
      </c>
      <c r="C99" t="s">
        <v>191</v>
      </c>
      <c r="D99" s="110">
        <v>373733.25</v>
      </c>
      <c r="E99" s="110">
        <v>365815.75</v>
      </c>
      <c r="F99" s="110">
        <v>365799</v>
      </c>
      <c r="G99" s="110">
        <v>362199</v>
      </c>
      <c r="I99" s="110">
        <v>110828.95</v>
      </c>
      <c r="J99" s="110">
        <v>164060.07</v>
      </c>
      <c r="K99" s="110">
        <v>164060.07</v>
      </c>
      <c r="L99" s="110">
        <v>195076.65</v>
      </c>
    </row>
    <row r="100" spans="1:12" x14ac:dyDescent="0.2">
      <c r="A100" t="s">
        <v>4</v>
      </c>
      <c r="B100" t="s">
        <v>109</v>
      </c>
      <c r="C100" t="s">
        <v>192</v>
      </c>
      <c r="D100" s="110">
        <v>127739.39</v>
      </c>
      <c r="E100" s="110">
        <v>418193</v>
      </c>
      <c r="F100" s="110">
        <v>414543</v>
      </c>
      <c r="I100" s="110">
        <v>127709.75</v>
      </c>
      <c r="J100" s="110">
        <v>127739.39</v>
      </c>
      <c r="K100" s="110">
        <v>183961.08</v>
      </c>
    </row>
    <row r="101" spans="1:12" x14ac:dyDescent="0.2">
      <c r="A101" t="s">
        <v>4</v>
      </c>
      <c r="B101" t="s">
        <v>109</v>
      </c>
      <c r="C101" t="s">
        <v>193</v>
      </c>
      <c r="D101" s="110">
        <v>439988.75</v>
      </c>
      <c r="E101" s="110">
        <v>439138.75</v>
      </c>
      <c r="I101" s="110">
        <v>75389.75</v>
      </c>
      <c r="J101" s="110">
        <v>118620.74</v>
      </c>
    </row>
    <row r="102" spans="1:12" x14ac:dyDescent="0.2">
      <c r="A102" t="s">
        <v>4</v>
      </c>
      <c r="B102" t="s">
        <v>109</v>
      </c>
      <c r="C102" t="s">
        <v>194</v>
      </c>
      <c r="D102" s="110">
        <v>377092.75</v>
      </c>
      <c r="I102" s="110">
        <v>64993</v>
      </c>
    </row>
    <row r="103" spans="1:12" x14ac:dyDescent="0.2">
      <c r="A103" t="s">
        <v>4</v>
      </c>
      <c r="B103" t="s">
        <v>106</v>
      </c>
      <c r="C103" t="s">
        <v>191</v>
      </c>
      <c r="D103" s="110">
        <v>210218.83</v>
      </c>
      <c r="E103" s="110">
        <v>210218.83</v>
      </c>
      <c r="F103" s="110">
        <v>210218.83</v>
      </c>
      <c r="G103" s="110">
        <v>210218.83</v>
      </c>
      <c r="I103" s="110">
        <v>209933.83</v>
      </c>
      <c r="J103" s="110">
        <v>209933.83</v>
      </c>
      <c r="K103" s="110">
        <v>209933.83</v>
      </c>
      <c r="L103" s="110">
        <v>209933.83</v>
      </c>
    </row>
    <row r="104" spans="1:12" x14ac:dyDescent="0.2">
      <c r="A104" t="s">
        <v>4</v>
      </c>
      <c r="B104" t="s">
        <v>106</v>
      </c>
      <c r="C104" t="s">
        <v>192</v>
      </c>
      <c r="D104" s="110">
        <v>241951.54</v>
      </c>
      <c r="E104" s="110">
        <v>241951.54</v>
      </c>
      <c r="F104" s="110">
        <v>241951.54</v>
      </c>
      <c r="I104" s="110">
        <v>241151.54</v>
      </c>
      <c r="J104" s="110">
        <v>241151.54</v>
      </c>
      <c r="K104" s="110">
        <v>241151.54</v>
      </c>
    </row>
    <row r="105" spans="1:12" x14ac:dyDescent="0.2">
      <c r="A105" t="s">
        <v>4</v>
      </c>
      <c r="B105" t="s">
        <v>106</v>
      </c>
      <c r="C105" t="s">
        <v>193</v>
      </c>
      <c r="D105" s="110">
        <v>252512.69</v>
      </c>
      <c r="E105" s="110">
        <v>252512.69</v>
      </c>
      <c r="I105" s="110">
        <v>250914.69</v>
      </c>
      <c r="J105" s="110">
        <v>251709.69</v>
      </c>
    </row>
    <row r="106" spans="1:12" x14ac:dyDescent="0.2">
      <c r="A106" t="s">
        <v>4</v>
      </c>
      <c r="B106" t="s">
        <v>106</v>
      </c>
      <c r="C106" t="s">
        <v>194</v>
      </c>
      <c r="D106" s="110">
        <v>229591.05</v>
      </c>
      <c r="I106" s="110">
        <v>228885.05</v>
      </c>
    </row>
    <row r="107" spans="1:12" x14ac:dyDescent="0.2">
      <c r="A107" t="s">
        <v>4</v>
      </c>
      <c r="B107" t="s">
        <v>107</v>
      </c>
      <c r="C107" t="s">
        <v>191</v>
      </c>
      <c r="D107" s="110">
        <v>187540.57</v>
      </c>
      <c r="E107" s="110">
        <v>187540.57</v>
      </c>
      <c r="F107" s="110">
        <v>187540.57</v>
      </c>
      <c r="G107" s="110">
        <v>187540.57</v>
      </c>
      <c r="I107" s="110">
        <v>187530.57</v>
      </c>
      <c r="J107" s="110">
        <v>187530.57</v>
      </c>
      <c r="K107" s="110">
        <v>187530.57</v>
      </c>
      <c r="L107" s="110">
        <v>187530.57</v>
      </c>
    </row>
    <row r="108" spans="1:12" x14ac:dyDescent="0.2">
      <c r="A108" t="s">
        <v>4</v>
      </c>
      <c r="B108" t="s">
        <v>107</v>
      </c>
      <c r="C108" t="s">
        <v>192</v>
      </c>
      <c r="D108" s="110">
        <v>216080.6</v>
      </c>
      <c r="E108" s="110">
        <v>216205.6</v>
      </c>
      <c r="F108" s="110">
        <v>216205.6</v>
      </c>
      <c r="I108" s="110">
        <v>215360.45</v>
      </c>
      <c r="J108" s="110">
        <v>215185.45</v>
      </c>
      <c r="K108" s="110">
        <v>215785.45</v>
      </c>
    </row>
    <row r="109" spans="1:12" x14ac:dyDescent="0.2">
      <c r="A109" t="s">
        <v>4</v>
      </c>
      <c r="B109" t="s">
        <v>107</v>
      </c>
      <c r="C109" t="s">
        <v>193</v>
      </c>
      <c r="D109" s="110">
        <v>256571.04</v>
      </c>
      <c r="E109" s="110">
        <v>256571.04</v>
      </c>
      <c r="I109" s="110">
        <v>255506.04</v>
      </c>
      <c r="J109" s="110">
        <v>255801.04</v>
      </c>
    </row>
    <row r="110" spans="1:12" x14ac:dyDescent="0.2">
      <c r="A110" t="s">
        <v>4</v>
      </c>
      <c r="B110" t="s">
        <v>107</v>
      </c>
      <c r="C110" t="s">
        <v>194</v>
      </c>
      <c r="D110" s="110">
        <v>250339.75</v>
      </c>
      <c r="I110" s="110">
        <v>250039.75</v>
      </c>
    </row>
    <row r="111" spans="1:12" x14ac:dyDescent="0.2">
      <c r="A111" t="s">
        <v>4</v>
      </c>
      <c r="B111" t="s">
        <v>108</v>
      </c>
      <c r="C111" t="s">
        <v>191</v>
      </c>
      <c r="D111" s="110">
        <v>47599.31</v>
      </c>
      <c r="E111" s="110">
        <v>47599.31</v>
      </c>
      <c r="F111" s="110">
        <v>47599.31</v>
      </c>
      <c r="G111" s="110">
        <v>47599.31</v>
      </c>
      <c r="I111" s="110">
        <v>47368.31</v>
      </c>
      <c r="J111" s="110">
        <v>47368.31</v>
      </c>
      <c r="K111" s="110">
        <v>47368.31</v>
      </c>
      <c r="L111" s="110">
        <v>47368.31</v>
      </c>
    </row>
    <row r="112" spans="1:12" x14ac:dyDescent="0.2">
      <c r="A112" t="s">
        <v>4</v>
      </c>
      <c r="B112" t="s">
        <v>108</v>
      </c>
      <c r="C112" t="s">
        <v>192</v>
      </c>
      <c r="D112" s="110">
        <v>60436.68</v>
      </c>
      <c r="E112" s="110">
        <v>60436.68</v>
      </c>
      <c r="F112" s="110">
        <v>60436.68</v>
      </c>
      <c r="I112" s="110">
        <v>59174.68</v>
      </c>
      <c r="J112" s="110">
        <v>59174.68</v>
      </c>
      <c r="K112" s="110">
        <v>59174.68</v>
      </c>
    </row>
    <row r="113" spans="1:12" x14ac:dyDescent="0.2">
      <c r="A113" t="s">
        <v>4</v>
      </c>
      <c r="B113" t="s">
        <v>108</v>
      </c>
      <c r="C113" t="s">
        <v>193</v>
      </c>
      <c r="D113" s="110">
        <v>62917.9</v>
      </c>
      <c r="E113" s="110">
        <v>62917.9</v>
      </c>
      <c r="I113" s="110">
        <v>62907.9</v>
      </c>
      <c r="J113" s="110">
        <v>62907.9</v>
      </c>
    </row>
    <row r="114" spans="1:12" x14ac:dyDescent="0.2">
      <c r="A114" t="s">
        <v>4</v>
      </c>
      <c r="B114" t="s">
        <v>108</v>
      </c>
      <c r="C114" t="s">
        <v>194</v>
      </c>
      <c r="D114" s="110">
        <v>67316.39</v>
      </c>
      <c r="I114" s="110">
        <v>66619.39</v>
      </c>
    </row>
    <row r="115" spans="1:12" x14ac:dyDescent="0.2">
      <c r="A115" t="s">
        <v>4</v>
      </c>
      <c r="B115" t="s">
        <v>70</v>
      </c>
      <c r="C115" t="s">
        <v>191</v>
      </c>
      <c r="D115" s="110">
        <v>112563.5</v>
      </c>
      <c r="E115" s="110">
        <v>112863.5</v>
      </c>
      <c r="F115" s="110">
        <v>112863.5</v>
      </c>
      <c r="G115" s="110">
        <v>112863.5</v>
      </c>
      <c r="I115" s="110">
        <v>112045.5</v>
      </c>
      <c r="J115" s="110">
        <v>112045.5</v>
      </c>
      <c r="K115" s="110">
        <v>112045.5</v>
      </c>
      <c r="L115" s="110">
        <v>112045.5</v>
      </c>
    </row>
    <row r="116" spans="1:12" x14ac:dyDescent="0.2">
      <c r="A116" t="s">
        <v>4</v>
      </c>
      <c r="B116" t="s">
        <v>70</v>
      </c>
      <c r="C116" t="s">
        <v>192</v>
      </c>
      <c r="D116" s="110">
        <v>136238.5</v>
      </c>
      <c r="E116" s="110">
        <v>136626</v>
      </c>
      <c r="F116" s="110">
        <v>136228.5</v>
      </c>
      <c r="I116" s="110">
        <v>134576</v>
      </c>
      <c r="J116" s="110">
        <v>134576</v>
      </c>
      <c r="K116" s="110">
        <v>134576</v>
      </c>
    </row>
    <row r="117" spans="1:12" x14ac:dyDescent="0.2">
      <c r="A117" t="s">
        <v>4</v>
      </c>
      <c r="B117" t="s">
        <v>70</v>
      </c>
      <c r="C117" t="s">
        <v>193</v>
      </c>
      <c r="D117" s="110">
        <v>132120.5</v>
      </c>
      <c r="E117" s="110">
        <v>130228</v>
      </c>
      <c r="I117" s="110">
        <v>128189</v>
      </c>
      <c r="J117" s="110">
        <v>129509</v>
      </c>
    </row>
    <row r="118" spans="1:12" x14ac:dyDescent="0.2">
      <c r="A118" t="s">
        <v>4</v>
      </c>
      <c r="B118" t="s">
        <v>70</v>
      </c>
      <c r="C118" t="s">
        <v>194</v>
      </c>
      <c r="D118" s="110">
        <v>128048</v>
      </c>
      <c r="I118" s="110">
        <v>125014.5</v>
      </c>
    </row>
    <row r="119" spans="1:12" x14ac:dyDescent="0.2">
      <c r="A119" t="s">
        <v>4</v>
      </c>
      <c r="B119" t="s">
        <v>110</v>
      </c>
      <c r="C119" t="s">
        <v>191</v>
      </c>
      <c r="D119" s="110">
        <v>632735.07999999996</v>
      </c>
      <c r="E119" s="110">
        <v>631700.07999999996</v>
      </c>
      <c r="F119" s="110">
        <v>631515.01</v>
      </c>
      <c r="G119" s="110">
        <v>631285.01</v>
      </c>
      <c r="I119" s="110">
        <v>505833.08</v>
      </c>
      <c r="J119" s="110">
        <v>533833.57999999996</v>
      </c>
      <c r="K119" s="110">
        <v>533833.57999999996</v>
      </c>
      <c r="L119" s="110">
        <v>546102.51</v>
      </c>
    </row>
    <row r="120" spans="1:12" x14ac:dyDescent="0.2">
      <c r="A120" t="s">
        <v>4</v>
      </c>
      <c r="B120" t="s">
        <v>110</v>
      </c>
      <c r="C120" t="s">
        <v>192</v>
      </c>
      <c r="D120" s="110">
        <v>804480.22</v>
      </c>
      <c r="E120" s="110">
        <v>802467.2</v>
      </c>
      <c r="F120" s="110">
        <v>800824.2</v>
      </c>
      <c r="I120" s="110">
        <v>650074.06999999995</v>
      </c>
      <c r="J120" s="110">
        <v>650074.06999999995</v>
      </c>
      <c r="K120" s="110">
        <v>679332.05</v>
      </c>
    </row>
    <row r="121" spans="1:12" x14ac:dyDescent="0.2">
      <c r="A121" t="s">
        <v>4</v>
      </c>
      <c r="B121" t="s">
        <v>110</v>
      </c>
      <c r="C121" t="s">
        <v>193</v>
      </c>
      <c r="D121" s="110">
        <v>666522.12</v>
      </c>
      <c r="E121" s="110">
        <v>648109.12</v>
      </c>
      <c r="I121" s="110">
        <v>344371.98</v>
      </c>
      <c r="J121" s="110">
        <v>509623.52</v>
      </c>
    </row>
    <row r="122" spans="1:12" x14ac:dyDescent="0.2">
      <c r="A122" t="s">
        <v>4</v>
      </c>
      <c r="B122" t="s">
        <v>110</v>
      </c>
      <c r="C122" t="s">
        <v>194</v>
      </c>
      <c r="D122" s="110">
        <v>706751.67</v>
      </c>
      <c r="I122" s="110">
        <v>334489.46000000002</v>
      </c>
    </row>
    <row r="123" spans="1:12" x14ac:dyDescent="0.2">
      <c r="A123" t="s">
        <v>5</v>
      </c>
      <c r="B123" t="s">
        <v>104</v>
      </c>
      <c r="C123" t="s">
        <v>191</v>
      </c>
      <c r="D123" s="110">
        <v>74784</v>
      </c>
      <c r="E123" s="110">
        <v>74784</v>
      </c>
      <c r="F123" s="110">
        <v>74734</v>
      </c>
      <c r="G123" s="110">
        <v>74734</v>
      </c>
      <c r="I123" s="110">
        <v>3328.9</v>
      </c>
      <c r="J123" s="110">
        <v>7334.34</v>
      </c>
      <c r="K123" s="110">
        <v>10118.65</v>
      </c>
      <c r="L123" s="110">
        <v>13087.22</v>
      </c>
    </row>
    <row r="124" spans="1:12" x14ac:dyDescent="0.2">
      <c r="A124" t="s">
        <v>5</v>
      </c>
      <c r="B124" t="s">
        <v>104</v>
      </c>
      <c r="C124" t="s">
        <v>192</v>
      </c>
      <c r="D124" s="110">
        <v>300997</v>
      </c>
      <c r="E124" s="110">
        <v>300947</v>
      </c>
      <c r="F124" s="110">
        <v>301323</v>
      </c>
      <c r="I124" s="110">
        <v>5255.98</v>
      </c>
      <c r="J124" s="110">
        <v>10955.24</v>
      </c>
      <c r="K124" s="110">
        <v>14792.43</v>
      </c>
    </row>
    <row r="125" spans="1:12" x14ac:dyDescent="0.2">
      <c r="A125" t="s">
        <v>5</v>
      </c>
      <c r="B125" t="s">
        <v>104</v>
      </c>
      <c r="C125" t="s">
        <v>193</v>
      </c>
      <c r="D125" s="110">
        <v>156491.68</v>
      </c>
      <c r="E125" s="110">
        <v>155973.68</v>
      </c>
      <c r="I125" s="110">
        <v>5562.48</v>
      </c>
      <c r="J125" s="110">
        <v>9513.09</v>
      </c>
    </row>
    <row r="126" spans="1:12" x14ac:dyDescent="0.2">
      <c r="A126" t="s">
        <v>5</v>
      </c>
      <c r="B126" t="s">
        <v>104</v>
      </c>
      <c r="C126" t="s">
        <v>194</v>
      </c>
      <c r="D126" s="110">
        <v>179875.53</v>
      </c>
      <c r="I126" s="110">
        <v>3450.66</v>
      </c>
    </row>
    <row r="127" spans="1:12" x14ac:dyDescent="0.2">
      <c r="A127" t="s">
        <v>5</v>
      </c>
      <c r="B127" t="s">
        <v>140</v>
      </c>
      <c r="C127" t="s">
        <v>191</v>
      </c>
    </row>
    <row r="128" spans="1:12" x14ac:dyDescent="0.2">
      <c r="A128" t="s">
        <v>5</v>
      </c>
      <c r="B128" t="s">
        <v>140</v>
      </c>
      <c r="C128" t="s">
        <v>192</v>
      </c>
      <c r="D128" s="110">
        <v>214208</v>
      </c>
      <c r="E128" s="110">
        <v>214258</v>
      </c>
      <c r="F128" s="110">
        <v>214258</v>
      </c>
    </row>
    <row r="129" spans="1:12" x14ac:dyDescent="0.2">
      <c r="A129" t="s">
        <v>5</v>
      </c>
      <c r="B129" t="s">
        <v>140</v>
      </c>
      <c r="C129" t="s">
        <v>193</v>
      </c>
      <c r="D129" s="110">
        <v>53118</v>
      </c>
      <c r="E129" s="110">
        <v>53168</v>
      </c>
    </row>
    <row r="130" spans="1:12" x14ac:dyDescent="0.2">
      <c r="A130" t="s">
        <v>5</v>
      </c>
      <c r="B130" t="s">
        <v>140</v>
      </c>
      <c r="C130" t="s">
        <v>194</v>
      </c>
      <c r="D130" s="110">
        <v>106236</v>
      </c>
    </row>
    <row r="131" spans="1:12" x14ac:dyDescent="0.2">
      <c r="A131" t="s">
        <v>5</v>
      </c>
      <c r="B131" t="s">
        <v>105</v>
      </c>
      <c r="C131" t="s">
        <v>191</v>
      </c>
      <c r="D131" s="110">
        <v>27901.25</v>
      </c>
      <c r="E131" s="110">
        <v>27291.75</v>
      </c>
      <c r="F131" s="110">
        <v>26841.25</v>
      </c>
      <c r="G131" s="110">
        <v>26240.75</v>
      </c>
      <c r="I131" s="110">
        <v>2160.75</v>
      </c>
      <c r="J131" s="110">
        <v>3333</v>
      </c>
      <c r="K131" s="110">
        <v>4816.5</v>
      </c>
      <c r="L131" s="110">
        <v>9072.25</v>
      </c>
    </row>
    <row r="132" spans="1:12" x14ac:dyDescent="0.2">
      <c r="A132" t="s">
        <v>5</v>
      </c>
      <c r="B132" t="s">
        <v>105</v>
      </c>
      <c r="C132" t="s">
        <v>192</v>
      </c>
      <c r="D132" s="110">
        <v>32256.25</v>
      </c>
      <c r="E132" s="110">
        <v>32256.25</v>
      </c>
      <c r="F132" s="110">
        <v>31575.25</v>
      </c>
      <c r="I132" s="110">
        <v>4640.5</v>
      </c>
      <c r="J132" s="110">
        <v>7149.25</v>
      </c>
      <c r="K132" s="110">
        <v>9801.98</v>
      </c>
    </row>
    <row r="133" spans="1:12" x14ac:dyDescent="0.2">
      <c r="A133" t="s">
        <v>5</v>
      </c>
      <c r="B133" t="s">
        <v>105</v>
      </c>
      <c r="C133" t="s">
        <v>193</v>
      </c>
      <c r="D133" s="110">
        <v>36163.25</v>
      </c>
      <c r="E133" s="110">
        <v>36163.25</v>
      </c>
      <c r="I133" s="110">
        <v>2383.75</v>
      </c>
      <c r="J133" s="110">
        <v>5775.9</v>
      </c>
    </row>
    <row r="134" spans="1:12" x14ac:dyDescent="0.2">
      <c r="A134" t="s">
        <v>5</v>
      </c>
      <c r="B134" t="s">
        <v>105</v>
      </c>
      <c r="C134" t="s">
        <v>194</v>
      </c>
      <c r="D134" s="110">
        <v>28411.37</v>
      </c>
      <c r="I134" s="110">
        <v>1977.37</v>
      </c>
    </row>
    <row r="135" spans="1:12" x14ac:dyDescent="0.2">
      <c r="A135" t="s">
        <v>5</v>
      </c>
      <c r="B135" t="s">
        <v>111</v>
      </c>
      <c r="C135" t="s">
        <v>191</v>
      </c>
      <c r="D135" s="110">
        <v>1108</v>
      </c>
      <c r="E135" s="110">
        <v>1108</v>
      </c>
      <c r="F135" s="110">
        <v>1108</v>
      </c>
      <c r="G135" s="110">
        <v>1108</v>
      </c>
      <c r="K135" s="110">
        <v>170</v>
      </c>
      <c r="L135" s="110">
        <v>170</v>
      </c>
    </row>
    <row r="136" spans="1:12" x14ac:dyDescent="0.2">
      <c r="A136" t="s">
        <v>5</v>
      </c>
      <c r="B136" t="s">
        <v>111</v>
      </c>
      <c r="C136" t="s">
        <v>192</v>
      </c>
      <c r="D136" s="110">
        <v>428</v>
      </c>
      <c r="E136" s="110">
        <v>428</v>
      </c>
      <c r="F136" s="110">
        <v>428</v>
      </c>
      <c r="I136" s="110">
        <v>6</v>
      </c>
      <c r="J136" s="110">
        <v>6</v>
      </c>
      <c r="K136" s="110">
        <v>6</v>
      </c>
    </row>
    <row r="137" spans="1:12" x14ac:dyDescent="0.2">
      <c r="A137" t="s">
        <v>5</v>
      </c>
      <c r="B137" t="s">
        <v>111</v>
      </c>
      <c r="C137" t="s">
        <v>193</v>
      </c>
      <c r="D137" s="110">
        <v>815</v>
      </c>
      <c r="E137" s="110">
        <v>815</v>
      </c>
      <c r="I137" s="110">
        <v>65</v>
      </c>
      <c r="J137" s="110">
        <v>315</v>
      </c>
    </row>
    <row r="138" spans="1:12" x14ac:dyDescent="0.2">
      <c r="A138" t="s">
        <v>5</v>
      </c>
      <c r="B138" t="s">
        <v>111</v>
      </c>
      <c r="C138" t="s">
        <v>194</v>
      </c>
      <c r="D138" s="110">
        <v>502</v>
      </c>
    </row>
    <row r="139" spans="1:12" x14ac:dyDescent="0.2">
      <c r="A139" t="s">
        <v>5</v>
      </c>
      <c r="B139" t="s">
        <v>109</v>
      </c>
      <c r="C139" t="s">
        <v>191</v>
      </c>
      <c r="D139" s="110">
        <v>41582.75</v>
      </c>
      <c r="E139" s="110">
        <v>40661.25</v>
      </c>
      <c r="F139" s="110">
        <v>40661.25</v>
      </c>
      <c r="G139" s="110">
        <v>40661.25</v>
      </c>
      <c r="I139" s="110">
        <v>4249.5</v>
      </c>
      <c r="J139" s="110">
        <v>10482.5</v>
      </c>
      <c r="K139" s="110">
        <v>12434.25</v>
      </c>
      <c r="L139" s="110">
        <v>14988.25</v>
      </c>
    </row>
    <row r="140" spans="1:12" x14ac:dyDescent="0.2">
      <c r="A140" t="s">
        <v>5</v>
      </c>
      <c r="B140" t="s">
        <v>109</v>
      </c>
      <c r="C140" t="s">
        <v>192</v>
      </c>
      <c r="D140" s="110">
        <v>40809.75</v>
      </c>
      <c r="E140" s="110">
        <v>40809.75</v>
      </c>
      <c r="F140" s="110">
        <v>39224.5</v>
      </c>
      <c r="I140" s="110">
        <v>7278</v>
      </c>
      <c r="J140" s="110">
        <v>13515.49</v>
      </c>
      <c r="K140" s="110">
        <v>19247.5</v>
      </c>
    </row>
    <row r="141" spans="1:12" x14ac:dyDescent="0.2">
      <c r="A141" t="s">
        <v>5</v>
      </c>
      <c r="B141" t="s">
        <v>109</v>
      </c>
      <c r="C141" t="s">
        <v>193</v>
      </c>
      <c r="D141" s="110">
        <v>54116.09</v>
      </c>
      <c r="E141" s="110">
        <v>54116.09</v>
      </c>
      <c r="I141" s="110">
        <v>5994.53</v>
      </c>
      <c r="J141" s="110">
        <v>18657.03</v>
      </c>
    </row>
    <row r="142" spans="1:12" x14ac:dyDescent="0.2">
      <c r="A142" t="s">
        <v>5</v>
      </c>
      <c r="B142" t="s">
        <v>109</v>
      </c>
      <c r="C142" t="s">
        <v>194</v>
      </c>
      <c r="D142" s="110">
        <v>40864</v>
      </c>
      <c r="I142" s="110">
        <v>3137</v>
      </c>
    </row>
    <row r="143" spans="1:12" x14ac:dyDescent="0.2">
      <c r="A143" t="s">
        <v>5</v>
      </c>
      <c r="B143" t="s">
        <v>106</v>
      </c>
      <c r="C143" t="s">
        <v>191</v>
      </c>
      <c r="D143" s="110">
        <v>20701.5</v>
      </c>
      <c r="E143" s="110">
        <v>19901.5</v>
      </c>
      <c r="F143" s="110">
        <v>19901.5</v>
      </c>
      <c r="G143" s="110">
        <v>19901.5</v>
      </c>
      <c r="I143" s="110">
        <v>18591.5</v>
      </c>
      <c r="J143" s="110">
        <v>18691.5</v>
      </c>
      <c r="K143" s="110">
        <v>18691.5</v>
      </c>
      <c r="L143" s="110">
        <v>18691.5</v>
      </c>
    </row>
    <row r="144" spans="1:12" x14ac:dyDescent="0.2">
      <c r="A144" t="s">
        <v>5</v>
      </c>
      <c r="B144" t="s">
        <v>106</v>
      </c>
      <c r="C144" t="s">
        <v>192</v>
      </c>
      <c r="D144" s="110">
        <v>21492</v>
      </c>
      <c r="E144" s="110">
        <v>21492</v>
      </c>
      <c r="F144" s="110">
        <v>21492</v>
      </c>
      <c r="I144" s="110">
        <v>19332</v>
      </c>
      <c r="J144" s="110">
        <v>20292</v>
      </c>
      <c r="K144" s="110">
        <v>20292</v>
      </c>
    </row>
    <row r="145" spans="1:12" x14ac:dyDescent="0.2">
      <c r="A145" t="s">
        <v>5</v>
      </c>
      <c r="B145" t="s">
        <v>106</v>
      </c>
      <c r="C145" t="s">
        <v>193</v>
      </c>
      <c r="D145" s="110">
        <v>37745</v>
      </c>
      <c r="E145" s="110">
        <v>37745</v>
      </c>
      <c r="I145" s="110">
        <v>34715</v>
      </c>
      <c r="J145" s="110">
        <v>35675</v>
      </c>
    </row>
    <row r="146" spans="1:12" x14ac:dyDescent="0.2">
      <c r="A146" t="s">
        <v>5</v>
      </c>
      <c r="B146" t="s">
        <v>106</v>
      </c>
      <c r="C146" t="s">
        <v>194</v>
      </c>
      <c r="D146" s="110">
        <v>22268</v>
      </c>
      <c r="I146" s="110">
        <v>21068</v>
      </c>
    </row>
    <row r="147" spans="1:12" x14ac:dyDescent="0.2">
      <c r="A147" t="s">
        <v>5</v>
      </c>
      <c r="B147" t="s">
        <v>107</v>
      </c>
      <c r="C147" t="s">
        <v>191</v>
      </c>
      <c r="D147" s="110">
        <v>34969</v>
      </c>
      <c r="E147" s="110">
        <v>35279</v>
      </c>
      <c r="F147" s="110">
        <v>35279</v>
      </c>
      <c r="G147" s="110">
        <v>35279</v>
      </c>
      <c r="I147" s="110">
        <v>33319</v>
      </c>
      <c r="J147" s="110">
        <v>34444</v>
      </c>
      <c r="K147" s="110">
        <v>34444</v>
      </c>
      <c r="L147" s="110">
        <v>34444</v>
      </c>
    </row>
    <row r="148" spans="1:12" x14ac:dyDescent="0.2">
      <c r="A148" t="s">
        <v>5</v>
      </c>
      <c r="B148" t="s">
        <v>107</v>
      </c>
      <c r="C148" t="s">
        <v>192</v>
      </c>
      <c r="D148" s="110">
        <v>33290</v>
      </c>
      <c r="E148" s="110">
        <v>33290</v>
      </c>
      <c r="F148" s="110">
        <v>33290</v>
      </c>
      <c r="I148" s="110">
        <v>32335</v>
      </c>
      <c r="J148" s="110">
        <v>33095</v>
      </c>
      <c r="K148" s="110">
        <v>33095</v>
      </c>
    </row>
    <row r="149" spans="1:12" x14ac:dyDescent="0.2">
      <c r="A149" t="s">
        <v>5</v>
      </c>
      <c r="B149" t="s">
        <v>107</v>
      </c>
      <c r="C149" t="s">
        <v>193</v>
      </c>
      <c r="D149" s="110">
        <v>34192</v>
      </c>
      <c r="E149" s="110">
        <v>34192</v>
      </c>
      <c r="I149" s="110">
        <v>34142</v>
      </c>
      <c r="J149" s="110">
        <v>34192</v>
      </c>
    </row>
    <row r="150" spans="1:12" x14ac:dyDescent="0.2">
      <c r="A150" t="s">
        <v>5</v>
      </c>
      <c r="B150" t="s">
        <v>107</v>
      </c>
      <c r="C150" t="s">
        <v>194</v>
      </c>
      <c r="D150" s="110">
        <v>41192</v>
      </c>
      <c r="I150" s="110">
        <v>41192</v>
      </c>
    </row>
    <row r="151" spans="1:12" x14ac:dyDescent="0.2">
      <c r="A151" t="s">
        <v>5</v>
      </c>
      <c r="B151" t="s">
        <v>108</v>
      </c>
      <c r="C151" t="s">
        <v>191</v>
      </c>
      <c r="D151" s="110">
        <v>7905</v>
      </c>
      <c r="E151" s="110">
        <v>7905</v>
      </c>
      <c r="F151" s="110">
        <v>7905</v>
      </c>
      <c r="G151" s="110">
        <v>7905</v>
      </c>
      <c r="I151" s="110">
        <v>7905</v>
      </c>
      <c r="J151" s="110">
        <v>7905</v>
      </c>
      <c r="K151" s="110">
        <v>7905</v>
      </c>
      <c r="L151" s="110">
        <v>7905</v>
      </c>
    </row>
    <row r="152" spans="1:12" x14ac:dyDescent="0.2">
      <c r="A152" t="s">
        <v>5</v>
      </c>
      <c r="B152" t="s">
        <v>108</v>
      </c>
      <c r="C152" t="s">
        <v>192</v>
      </c>
      <c r="D152" s="110">
        <v>6506</v>
      </c>
      <c r="E152" s="110">
        <v>6506</v>
      </c>
      <c r="F152" s="110">
        <v>6506</v>
      </c>
      <c r="I152" s="110">
        <v>6106</v>
      </c>
      <c r="J152" s="110">
        <v>6506</v>
      </c>
      <c r="K152" s="110">
        <v>6506</v>
      </c>
    </row>
    <row r="153" spans="1:12" x14ac:dyDescent="0.2">
      <c r="A153" t="s">
        <v>5</v>
      </c>
      <c r="B153" t="s">
        <v>108</v>
      </c>
      <c r="C153" t="s">
        <v>193</v>
      </c>
      <c r="D153" s="110">
        <v>12973.5</v>
      </c>
      <c r="E153" s="110">
        <v>12973.5</v>
      </c>
      <c r="I153" s="110">
        <v>12500.5</v>
      </c>
      <c r="J153" s="110">
        <v>12500.5</v>
      </c>
    </row>
    <row r="154" spans="1:12" x14ac:dyDescent="0.2">
      <c r="A154" t="s">
        <v>5</v>
      </c>
      <c r="B154" t="s">
        <v>108</v>
      </c>
      <c r="C154" t="s">
        <v>194</v>
      </c>
      <c r="D154" s="110">
        <v>10133</v>
      </c>
      <c r="I154" s="110">
        <v>10133</v>
      </c>
    </row>
    <row r="155" spans="1:12" x14ac:dyDescent="0.2">
      <c r="A155" t="s">
        <v>5</v>
      </c>
      <c r="B155" t="s">
        <v>70</v>
      </c>
      <c r="C155" t="s">
        <v>191</v>
      </c>
      <c r="D155" s="110">
        <v>13015.5</v>
      </c>
      <c r="E155" s="110">
        <v>12715.5</v>
      </c>
      <c r="F155" s="110">
        <v>12715.5</v>
      </c>
      <c r="G155" s="110">
        <v>12715.5</v>
      </c>
      <c r="I155" s="110">
        <v>10683.5</v>
      </c>
      <c r="J155" s="110">
        <v>10683.5</v>
      </c>
      <c r="K155" s="110">
        <v>10683.5</v>
      </c>
      <c r="L155" s="110">
        <v>10683.5</v>
      </c>
    </row>
    <row r="156" spans="1:12" x14ac:dyDescent="0.2">
      <c r="A156" t="s">
        <v>5</v>
      </c>
      <c r="B156" t="s">
        <v>70</v>
      </c>
      <c r="C156" t="s">
        <v>192</v>
      </c>
      <c r="D156" s="110">
        <v>15518.5</v>
      </c>
      <c r="E156" s="110">
        <v>15110.5</v>
      </c>
      <c r="F156" s="110">
        <v>15110.5</v>
      </c>
      <c r="I156" s="110">
        <v>13941.5</v>
      </c>
      <c r="J156" s="110">
        <v>13941.5</v>
      </c>
      <c r="K156" s="110">
        <v>13941.5</v>
      </c>
    </row>
    <row r="157" spans="1:12" x14ac:dyDescent="0.2">
      <c r="A157" t="s">
        <v>5</v>
      </c>
      <c r="B157" t="s">
        <v>70</v>
      </c>
      <c r="C157" t="s">
        <v>193</v>
      </c>
      <c r="D157" s="110">
        <v>16704</v>
      </c>
      <c r="E157" s="110">
        <v>16704</v>
      </c>
      <c r="I157" s="110">
        <v>15116</v>
      </c>
      <c r="J157" s="110">
        <v>15584</v>
      </c>
    </row>
    <row r="158" spans="1:12" x14ac:dyDescent="0.2">
      <c r="A158" t="s">
        <v>5</v>
      </c>
      <c r="B158" t="s">
        <v>70</v>
      </c>
      <c r="C158" t="s">
        <v>194</v>
      </c>
      <c r="D158" s="110">
        <v>19684</v>
      </c>
      <c r="I158" s="110">
        <v>18523.5</v>
      </c>
    </row>
    <row r="159" spans="1:12" x14ac:dyDescent="0.2">
      <c r="A159" t="s">
        <v>5</v>
      </c>
      <c r="B159" t="s">
        <v>110</v>
      </c>
      <c r="C159" t="s">
        <v>191</v>
      </c>
      <c r="D159" s="110">
        <v>543555.9</v>
      </c>
      <c r="E159" s="110">
        <v>543773.9</v>
      </c>
      <c r="F159" s="110">
        <v>540628.9</v>
      </c>
      <c r="G159" s="110">
        <v>540071.9</v>
      </c>
      <c r="I159" s="110">
        <v>170686.3</v>
      </c>
      <c r="J159" s="110">
        <v>424563.3</v>
      </c>
      <c r="K159" s="110">
        <v>480738.3</v>
      </c>
      <c r="L159" s="110">
        <v>493984.3</v>
      </c>
    </row>
    <row r="160" spans="1:12" x14ac:dyDescent="0.2">
      <c r="A160" t="s">
        <v>5</v>
      </c>
      <c r="B160" t="s">
        <v>110</v>
      </c>
      <c r="C160" t="s">
        <v>192</v>
      </c>
      <c r="D160" s="110">
        <v>481716.8</v>
      </c>
      <c r="E160" s="110">
        <v>469499.55</v>
      </c>
      <c r="F160" s="110">
        <v>467927.55</v>
      </c>
      <c r="I160" s="110">
        <v>150243.79999999999</v>
      </c>
      <c r="J160" s="110">
        <v>379386.55</v>
      </c>
      <c r="K160" s="110">
        <v>416598.55</v>
      </c>
    </row>
    <row r="161" spans="1:12" x14ac:dyDescent="0.2">
      <c r="A161" t="s">
        <v>5</v>
      </c>
      <c r="B161" t="s">
        <v>110</v>
      </c>
      <c r="C161" t="s">
        <v>193</v>
      </c>
      <c r="D161" s="110">
        <v>479557.5</v>
      </c>
      <c r="E161" s="110">
        <v>464281.5</v>
      </c>
      <c r="I161" s="110">
        <v>156833</v>
      </c>
      <c r="J161" s="110">
        <v>379077</v>
      </c>
    </row>
    <row r="162" spans="1:12" x14ac:dyDescent="0.2">
      <c r="A162" t="s">
        <v>5</v>
      </c>
      <c r="B162" t="s">
        <v>110</v>
      </c>
      <c r="C162" t="s">
        <v>194</v>
      </c>
      <c r="D162" s="110">
        <v>391482.9</v>
      </c>
      <c r="I162" s="110">
        <v>112051.9</v>
      </c>
    </row>
    <row r="163" spans="1:12" x14ac:dyDescent="0.2">
      <c r="A163" t="s">
        <v>6</v>
      </c>
      <c r="B163" t="s">
        <v>104</v>
      </c>
      <c r="C163" t="s">
        <v>191</v>
      </c>
      <c r="D163" s="110">
        <v>868377.19</v>
      </c>
      <c r="E163" s="110">
        <v>863638.19</v>
      </c>
      <c r="F163" s="110">
        <v>862569.19</v>
      </c>
      <c r="G163" s="110">
        <v>861810.69</v>
      </c>
      <c r="I163" s="110">
        <v>44201.15</v>
      </c>
      <c r="J163" s="110">
        <v>66116.539999999994</v>
      </c>
      <c r="K163" s="110">
        <v>86903.28</v>
      </c>
      <c r="L163" s="110">
        <v>108429.11</v>
      </c>
    </row>
    <row r="164" spans="1:12" x14ac:dyDescent="0.2">
      <c r="A164" t="s">
        <v>6</v>
      </c>
      <c r="B164" t="s">
        <v>104</v>
      </c>
      <c r="C164" t="s">
        <v>192</v>
      </c>
      <c r="D164" s="110">
        <v>1008424.44</v>
      </c>
      <c r="E164" s="110">
        <v>1004094.44</v>
      </c>
      <c r="F164" s="110">
        <v>1002590.94</v>
      </c>
      <c r="I164" s="110">
        <v>40883.269999999997</v>
      </c>
      <c r="J164" s="110">
        <v>63840.5</v>
      </c>
      <c r="K164" s="110">
        <v>79916.13</v>
      </c>
    </row>
    <row r="165" spans="1:12" x14ac:dyDescent="0.2">
      <c r="A165" t="s">
        <v>6</v>
      </c>
      <c r="B165" t="s">
        <v>104</v>
      </c>
      <c r="C165" t="s">
        <v>193</v>
      </c>
      <c r="D165" s="110">
        <v>1133018.55</v>
      </c>
      <c r="E165" s="110">
        <v>1128747.55</v>
      </c>
      <c r="I165" s="110">
        <v>46107.49</v>
      </c>
      <c r="J165" s="110">
        <v>64757.55</v>
      </c>
    </row>
    <row r="166" spans="1:12" x14ac:dyDescent="0.2">
      <c r="A166" t="s">
        <v>6</v>
      </c>
      <c r="B166" t="s">
        <v>104</v>
      </c>
      <c r="C166" t="s">
        <v>194</v>
      </c>
      <c r="D166" s="110">
        <v>1170775.79</v>
      </c>
      <c r="I166" s="110">
        <v>47326.28</v>
      </c>
    </row>
    <row r="167" spans="1:12" x14ac:dyDescent="0.2">
      <c r="A167" t="s">
        <v>6</v>
      </c>
      <c r="B167" t="s">
        <v>140</v>
      </c>
      <c r="C167" t="s">
        <v>191</v>
      </c>
      <c r="D167" s="110">
        <v>108095</v>
      </c>
      <c r="E167" s="110">
        <v>108095</v>
      </c>
      <c r="F167" s="110">
        <v>108195</v>
      </c>
      <c r="G167" s="110">
        <v>108195</v>
      </c>
      <c r="I167" s="110">
        <v>193</v>
      </c>
      <c r="J167" s="110">
        <v>228</v>
      </c>
      <c r="K167" s="110">
        <v>228</v>
      </c>
      <c r="L167" s="110">
        <v>428</v>
      </c>
    </row>
    <row r="168" spans="1:12" x14ac:dyDescent="0.2">
      <c r="A168" t="s">
        <v>6</v>
      </c>
      <c r="B168" t="s">
        <v>140</v>
      </c>
      <c r="C168" t="s">
        <v>192</v>
      </c>
      <c r="D168" s="110">
        <v>214440</v>
      </c>
      <c r="E168" s="110">
        <v>214490</v>
      </c>
      <c r="F168" s="110">
        <v>214540</v>
      </c>
      <c r="I168" s="110">
        <v>794</v>
      </c>
      <c r="J168" s="110">
        <v>804</v>
      </c>
      <c r="K168" s="110">
        <v>836</v>
      </c>
    </row>
    <row r="169" spans="1:12" x14ac:dyDescent="0.2">
      <c r="A169" t="s">
        <v>6</v>
      </c>
      <c r="B169" t="s">
        <v>140</v>
      </c>
      <c r="C169" t="s">
        <v>193</v>
      </c>
      <c r="D169" s="110">
        <v>344073</v>
      </c>
      <c r="E169" s="110">
        <v>344423</v>
      </c>
      <c r="I169" s="110">
        <v>277</v>
      </c>
      <c r="J169" s="110">
        <v>277</v>
      </c>
    </row>
    <row r="170" spans="1:12" x14ac:dyDescent="0.2">
      <c r="A170" t="s">
        <v>6</v>
      </c>
      <c r="B170" t="s">
        <v>140</v>
      </c>
      <c r="C170" t="s">
        <v>194</v>
      </c>
      <c r="D170" s="110">
        <v>372035</v>
      </c>
      <c r="I170" s="110">
        <v>129</v>
      </c>
    </row>
    <row r="171" spans="1:12" x14ac:dyDescent="0.2">
      <c r="A171" t="s">
        <v>6</v>
      </c>
      <c r="B171" t="s">
        <v>105</v>
      </c>
      <c r="C171" t="s">
        <v>191</v>
      </c>
      <c r="D171" s="110">
        <v>515994.45</v>
      </c>
      <c r="E171" s="110">
        <v>508382.45</v>
      </c>
      <c r="F171" s="110">
        <v>507932.45</v>
      </c>
      <c r="G171" s="110">
        <v>507382.45</v>
      </c>
      <c r="I171" s="110">
        <v>84906.36</v>
      </c>
      <c r="J171" s="110">
        <v>128151.17</v>
      </c>
      <c r="K171" s="110">
        <v>164161.95000000001</v>
      </c>
      <c r="L171" s="110">
        <v>183817</v>
      </c>
    </row>
    <row r="172" spans="1:12" x14ac:dyDescent="0.2">
      <c r="A172" t="s">
        <v>6</v>
      </c>
      <c r="B172" t="s">
        <v>105</v>
      </c>
      <c r="C172" t="s">
        <v>192</v>
      </c>
      <c r="D172" s="110">
        <v>506053.75</v>
      </c>
      <c r="E172" s="110">
        <v>502424.75</v>
      </c>
      <c r="F172" s="110">
        <v>501624.75</v>
      </c>
      <c r="I172" s="110">
        <v>91595.4</v>
      </c>
      <c r="J172" s="110">
        <v>129930.03</v>
      </c>
      <c r="K172" s="110">
        <v>166095.93</v>
      </c>
    </row>
    <row r="173" spans="1:12" x14ac:dyDescent="0.2">
      <c r="A173" t="s">
        <v>6</v>
      </c>
      <c r="B173" t="s">
        <v>105</v>
      </c>
      <c r="C173" t="s">
        <v>193</v>
      </c>
      <c r="D173" s="110">
        <v>577403.57999999996</v>
      </c>
      <c r="E173" s="110">
        <v>572889.98</v>
      </c>
      <c r="I173" s="110">
        <v>95364.54</v>
      </c>
      <c r="J173" s="110">
        <v>133447.14000000001</v>
      </c>
    </row>
    <row r="174" spans="1:12" x14ac:dyDescent="0.2">
      <c r="A174" t="s">
        <v>6</v>
      </c>
      <c r="B174" t="s">
        <v>105</v>
      </c>
      <c r="C174" t="s">
        <v>194</v>
      </c>
      <c r="D174" s="110">
        <v>587918.86</v>
      </c>
      <c r="I174" s="110">
        <v>96028.98</v>
      </c>
    </row>
    <row r="175" spans="1:12" x14ac:dyDescent="0.2">
      <c r="A175" t="s">
        <v>6</v>
      </c>
      <c r="B175" t="s">
        <v>111</v>
      </c>
      <c r="C175" t="s">
        <v>191</v>
      </c>
      <c r="D175" s="110">
        <v>28156.6</v>
      </c>
      <c r="E175" s="110">
        <v>27856.6</v>
      </c>
      <c r="F175" s="110">
        <v>27306.6</v>
      </c>
      <c r="G175" s="110">
        <v>27156.6</v>
      </c>
      <c r="I175" s="110">
        <v>1011.1</v>
      </c>
      <c r="J175" s="110">
        <v>1286.0999999999999</v>
      </c>
      <c r="K175" s="110">
        <v>1406.1</v>
      </c>
      <c r="L175" s="110">
        <v>1431.1</v>
      </c>
    </row>
    <row r="176" spans="1:12" x14ac:dyDescent="0.2">
      <c r="A176" t="s">
        <v>6</v>
      </c>
      <c r="B176" t="s">
        <v>111</v>
      </c>
      <c r="C176" t="s">
        <v>192</v>
      </c>
      <c r="D176" s="110">
        <v>36785.35</v>
      </c>
      <c r="E176" s="110">
        <v>36235.35</v>
      </c>
      <c r="F176" s="110">
        <v>35835.35</v>
      </c>
      <c r="I176" s="110">
        <v>881.85</v>
      </c>
      <c r="J176" s="110">
        <v>1249.8499999999999</v>
      </c>
      <c r="K176" s="110">
        <v>1324.85</v>
      </c>
    </row>
    <row r="177" spans="1:12" x14ac:dyDescent="0.2">
      <c r="A177" t="s">
        <v>6</v>
      </c>
      <c r="B177" t="s">
        <v>111</v>
      </c>
      <c r="C177" t="s">
        <v>193</v>
      </c>
      <c r="D177" s="110">
        <v>36918</v>
      </c>
      <c r="E177" s="110">
        <v>36068</v>
      </c>
      <c r="I177" s="110">
        <v>926</v>
      </c>
      <c r="J177" s="110">
        <v>1301</v>
      </c>
    </row>
    <row r="178" spans="1:12" x14ac:dyDescent="0.2">
      <c r="A178" t="s">
        <v>6</v>
      </c>
      <c r="B178" t="s">
        <v>111</v>
      </c>
      <c r="C178" t="s">
        <v>194</v>
      </c>
      <c r="D178" s="110">
        <v>26413.45</v>
      </c>
      <c r="I178" s="110">
        <v>1014.45</v>
      </c>
    </row>
    <row r="179" spans="1:12" x14ac:dyDescent="0.2">
      <c r="A179" t="s">
        <v>6</v>
      </c>
      <c r="B179" t="s">
        <v>109</v>
      </c>
      <c r="C179" t="s">
        <v>191</v>
      </c>
      <c r="D179" s="110">
        <v>709701.7</v>
      </c>
      <c r="E179" s="110">
        <v>704213.53</v>
      </c>
      <c r="F179" s="110">
        <v>699185.53</v>
      </c>
      <c r="G179" s="110">
        <v>697866.53</v>
      </c>
      <c r="I179" s="110">
        <v>142119.42000000001</v>
      </c>
      <c r="J179" s="110">
        <v>240950.6</v>
      </c>
      <c r="K179" s="110">
        <v>310633.63</v>
      </c>
      <c r="L179" s="110">
        <v>354942.94</v>
      </c>
    </row>
    <row r="180" spans="1:12" x14ac:dyDescent="0.2">
      <c r="A180" t="s">
        <v>6</v>
      </c>
      <c r="B180" t="s">
        <v>109</v>
      </c>
      <c r="C180" t="s">
        <v>192</v>
      </c>
      <c r="D180" s="110">
        <v>735151.2</v>
      </c>
      <c r="E180" s="110">
        <v>727577.2</v>
      </c>
      <c r="F180" s="110">
        <v>724250.2</v>
      </c>
      <c r="I180" s="110">
        <v>170793.61</v>
      </c>
      <c r="J180" s="110">
        <v>243384.69</v>
      </c>
      <c r="K180" s="110">
        <v>303743.24</v>
      </c>
    </row>
    <row r="181" spans="1:12" x14ac:dyDescent="0.2">
      <c r="A181" t="s">
        <v>6</v>
      </c>
      <c r="B181" t="s">
        <v>109</v>
      </c>
      <c r="C181" t="s">
        <v>193</v>
      </c>
      <c r="D181" s="110">
        <v>763209.25</v>
      </c>
      <c r="E181" s="110">
        <v>756733.25</v>
      </c>
      <c r="I181" s="110">
        <v>142812.13</v>
      </c>
      <c r="J181" s="110">
        <v>216008.62</v>
      </c>
    </row>
    <row r="182" spans="1:12" x14ac:dyDescent="0.2">
      <c r="A182" t="s">
        <v>6</v>
      </c>
      <c r="B182" t="s">
        <v>109</v>
      </c>
      <c r="C182" t="s">
        <v>194</v>
      </c>
      <c r="D182" s="110">
        <v>696790.6</v>
      </c>
      <c r="I182" s="110">
        <v>137486.17000000001</v>
      </c>
    </row>
    <row r="183" spans="1:12" x14ac:dyDescent="0.2">
      <c r="A183" t="s">
        <v>6</v>
      </c>
      <c r="B183" t="s">
        <v>106</v>
      </c>
      <c r="C183" t="s">
        <v>191</v>
      </c>
      <c r="D183" s="110">
        <v>411850.29</v>
      </c>
      <c r="E183" s="110">
        <v>411750.29</v>
      </c>
      <c r="F183" s="110">
        <v>411750.29</v>
      </c>
      <c r="G183" s="110">
        <v>411650.29</v>
      </c>
      <c r="I183" s="110">
        <v>365931.24</v>
      </c>
      <c r="J183" s="110">
        <v>407324.09</v>
      </c>
      <c r="K183" s="110">
        <v>407803.31</v>
      </c>
      <c r="L183" s="110">
        <v>405610.31</v>
      </c>
    </row>
    <row r="184" spans="1:12" x14ac:dyDescent="0.2">
      <c r="A184" t="s">
        <v>6</v>
      </c>
      <c r="B184" t="s">
        <v>106</v>
      </c>
      <c r="C184" t="s">
        <v>192</v>
      </c>
      <c r="D184" s="110">
        <v>647298.68000000005</v>
      </c>
      <c r="E184" s="110">
        <v>645896.68000000005</v>
      </c>
      <c r="F184" s="110">
        <v>645294.68000000005</v>
      </c>
      <c r="I184" s="110">
        <v>624515.82999999996</v>
      </c>
      <c r="J184" s="110">
        <v>641651.02</v>
      </c>
      <c r="K184" s="110">
        <v>638458.17000000004</v>
      </c>
    </row>
    <row r="185" spans="1:12" x14ac:dyDescent="0.2">
      <c r="A185" t="s">
        <v>6</v>
      </c>
      <c r="B185" t="s">
        <v>106</v>
      </c>
      <c r="C185" t="s">
        <v>193</v>
      </c>
      <c r="D185" s="110">
        <v>806508.9</v>
      </c>
      <c r="E185" s="110">
        <v>803842.9</v>
      </c>
      <c r="I185" s="110">
        <v>745968.21</v>
      </c>
      <c r="J185" s="110">
        <v>799699.94</v>
      </c>
    </row>
    <row r="186" spans="1:12" x14ac:dyDescent="0.2">
      <c r="A186" t="s">
        <v>6</v>
      </c>
      <c r="B186" t="s">
        <v>106</v>
      </c>
      <c r="C186" t="s">
        <v>194</v>
      </c>
      <c r="D186" s="110">
        <v>906447.35</v>
      </c>
      <c r="I186" s="110">
        <v>844035.4</v>
      </c>
    </row>
    <row r="187" spans="1:12" x14ac:dyDescent="0.2">
      <c r="A187" t="s">
        <v>6</v>
      </c>
      <c r="B187" t="s">
        <v>107</v>
      </c>
      <c r="C187" t="s">
        <v>191</v>
      </c>
      <c r="D187" s="110">
        <v>566163.69999999995</v>
      </c>
      <c r="E187" s="110">
        <v>566028.69999999995</v>
      </c>
      <c r="F187" s="110">
        <v>565993.69999999995</v>
      </c>
      <c r="G187" s="110">
        <v>565908.69999999995</v>
      </c>
      <c r="I187" s="110">
        <v>526477.47</v>
      </c>
      <c r="J187" s="110">
        <v>562982.47</v>
      </c>
      <c r="K187" s="110">
        <v>563292.47</v>
      </c>
      <c r="L187" s="110">
        <v>563337.47</v>
      </c>
    </row>
    <row r="188" spans="1:12" x14ac:dyDescent="0.2">
      <c r="A188" t="s">
        <v>6</v>
      </c>
      <c r="B188" t="s">
        <v>107</v>
      </c>
      <c r="C188" t="s">
        <v>192</v>
      </c>
      <c r="D188" s="110">
        <v>586425.61</v>
      </c>
      <c r="E188" s="110">
        <v>586145.61</v>
      </c>
      <c r="F188" s="110">
        <v>586145.61</v>
      </c>
      <c r="I188" s="110">
        <v>562912.94999999995</v>
      </c>
      <c r="J188" s="110">
        <v>583927.94999999995</v>
      </c>
      <c r="K188" s="110">
        <v>584371.34</v>
      </c>
    </row>
    <row r="189" spans="1:12" x14ac:dyDescent="0.2">
      <c r="A189" t="s">
        <v>6</v>
      </c>
      <c r="B189" t="s">
        <v>107</v>
      </c>
      <c r="C189" t="s">
        <v>193</v>
      </c>
      <c r="D189" s="110">
        <v>648117.86</v>
      </c>
      <c r="E189" s="110">
        <v>647822.86</v>
      </c>
      <c r="I189" s="110">
        <v>628635.36</v>
      </c>
      <c r="J189" s="110">
        <v>644896.86</v>
      </c>
    </row>
    <row r="190" spans="1:12" x14ac:dyDescent="0.2">
      <c r="A190" t="s">
        <v>6</v>
      </c>
      <c r="B190" t="s">
        <v>107</v>
      </c>
      <c r="C190" t="s">
        <v>194</v>
      </c>
      <c r="D190" s="110">
        <v>661714.23</v>
      </c>
      <c r="I190" s="110">
        <v>641304.53</v>
      </c>
    </row>
    <row r="191" spans="1:12" x14ac:dyDescent="0.2">
      <c r="A191" t="s">
        <v>6</v>
      </c>
      <c r="B191" t="s">
        <v>108</v>
      </c>
      <c r="C191" t="s">
        <v>191</v>
      </c>
      <c r="D191" s="110">
        <v>234067</v>
      </c>
      <c r="E191" s="110">
        <v>234067</v>
      </c>
      <c r="F191" s="110">
        <v>234067</v>
      </c>
      <c r="G191" s="110">
        <v>233642</v>
      </c>
      <c r="I191" s="110">
        <v>226397.8</v>
      </c>
      <c r="J191" s="110">
        <v>230939.8</v>
      </c>
      <c r="K191" s="110">
        <v>231398.8</v>
      </c>
      <c r="L191" s="110">
        <v>231653.8</v>
      </c>
    </row>
    <row r="192" spans="1:12" x14ac:dyDescent="0.2">
      <c r="A192" t="s">
        <v>6</v>
      </c>
      <c r="B192" t="s">
        <v>108</v>
      </c>
      <c r="C192" t="s">
        <v>192</v>
      </c>
      <c r="D192" s="110">
        <v>247623.2</v>
      </c>
      <c r="E192" s="110">
        <v>247623.2</v>
      </c>
      <c r="F192" s="110">
        <v>247623.2</v>
      </c>
      <c r="I192" s="110">
        <v>240983.41</v>
      </c>
      <c r="J192" s="110">
        <v>245163.91</v>
      </c>
      <c r="K192" s="110">
        <v>245254.01</v>
      </c>
    </row>
    <row r="193" spans="1:12" x14ac:dyDescent="0.2">
      <c r="A193" t="s">
        <v>6</v>
      </c>
      <c r="B193" t="s">
        <v>108</v>
      </c>
      <c r="C193" t="s">
        <v>193</v>
      </c>
      <c r="D193" s="110">
        <v>250140.79999999999</v>
      </c>
      <c r="E193" s="110">
        <v>250140.79999999999</v>
      </c>
      <c r="I193" s="110">
        <v>237154.9</v>
      </c>
      <c r="J193" s="110">
        <v>247562.9</v>
      </c>
    </row>
    <row r="194" spans="1:12" x14ac:dyDescent="0.2">
      <c r="A194" t="s">
        <v>6</v>
      </c>
      <c r="B194" t="s">
        <v>108</v>
      </c>
      <c r="C194" t="s">
        <v>194</v>
      </c>
      <c r="D194" s="110">
        <v>238328.15</v>
      </c>
      <c r="I194" s="110">
        <v>227827.07</v>
      </c>
    </row>
    <row r="195" spans="1:12" x14ac:dyDescent="0.2">
      <c r="A195" t="s">
        <v>6</v>
      </c>
      <c r="B195" t="s">
        <v>70</v>
      </c>
      <c r="C195" t="s">
        <v>191</v>
      </c>
      <c r="D195" s="110">
        <v>329764.81</v>
      </c>
      <c r="E195" s="110">
        <v>329295.81</v>
      </c>
      <c r="F195" s="110">
        <v>329295.81</v>
      </c>
      <c r="G195" s="110">
        <v>328969.81</v>
      </c>
      <c r="I195" s="110">
        <v>271847.11</v>
      </c>
      <c r="J195" s="110">
        <v>294076.84000000003</v>
      </c>
      <c r="K195" s="110">
        <v>298686.57</v>
      </c>
      <c r="L195" s="110">
        <v>299814.82</v>
      </c>
    </row>
    <row r="196" spans="1:12" x14ac:dyDescent="0.2">
      <c r="A196" t="s">
        <v>6</v>
      </c>
      <c r="B196" t="s">
        <v>70</v>
      </c>
      <c r="C196" t="s">
        <v>192</v>
      </c>
      <c r="D196" s="110">
        <v>372808.9</v>
      </c>
      <c r="E196" s="110">
        <v>372723.9</v>
      </c>
      <c r="F196" s="110">
        <v>372713.9</v>
      </c>
      <c r="I196" s="110">
        <v>328125.58</v>
      </c>
      <c r="J196" s="110">
        <v>335913.4</v>
      </c>
      <c r="K196" s="110">
        <v>338199.02</v>
      </c>
    </row>
    <row r="197" spans="1:12" x14ac:dyDescent="0.2">
      <c r="A197" t="s">
        <v>6</v>
      </c>
      <c r="B197" t="s">
        <v>70</v>
      </c>
      <c r="C197" t="s">
        <v>193</v>
      </c>
      <c r="D197" s="110">
        <v>378290.85</v>
      </c>
      <c r="E197" s="110">
        <v>378230.85</v>
      </c>
      <c r="I197" s="110">
        <v>330478.37</v>
      </c>
      <c r="J197" s="110">
        <v>342929.02</v>
      </c>
    </row>
    <row r="198" spans="1:12" x14ac:dyDescent="0.2">
      <c r="A198" t="s">
        <v>6</v>
      </c>
      <c r="B198" t="s">
        <v>70</v>
      </c>
      <c r="C198" t="s">
        <v>194</v>
      </c>
      <c r="D198" s="110">
        <v>331900.09999999998</v>
      </c>
      <c r="I198" s="110">
        <v>278730.53000000003</v>
      </c>
    </row>
    <row r="199" spans="1:12" x14ac:dyDescent="0.2">
      <c r="A199" t="s">
        <v>6</v>
      </c>
      <c r="B199" t="s">
        <v>110</v>
      </c>
      <c r="C199" t="s">
        <v>191</v>
      </c>
      <c r="D199" s="110">
        <v>1484834.12</v>
      </c>
      <c r="E199" s="110">
        <v>1409199.3</v>
      </c>
      <c r="F199" s="110">
        <v>1403587.3</v>
      </c>
      <c r="G199" s="110">
        <v>1402955.3</v>
      </c>
      <c r="I199" s="110">
        <v>752557.11</v>
      </c>
      <c r="J199" s="110">
        <v>1126100.83</v>
      </c>
      <c r="K199" s="110">
        <v>1212088.6399999999</v>
      </c>
      <c r="L199" s="110">
        <v>1236547.54</v>
      </c>
    </row>
    <row r="200" spans="1:12" x14ac:dyDescent="0.2">
      <c r="A200" t="s">
        <v>6</v>
      </c>
      <c r="B200" t="s">
        <v>110</v>
      </c>
      <c r="C200" t="s">
        <v>192</v>
      </c>
      <c r="D200" s="110">
        <v>1496952.87</v>
      </c>
      <c r="E200" s="110">
        <v>1426114.25</v>
      </c>
      <c r="F200" s="110">
        <v>1421451.25</v>
      </c>
      <c r="I200" s="110">
        <v>829674.5</v>
      </c>
      <c r="J200" s="110">
        <v>1168713.8899999999</v>
      </c>
      <c r="K200" s="110">
        <v>1236962.57</v>
      </c>
    </row>
    <row r="201" spans="1:12" x14ac:dyDescent="0.2">
      <c r="A201" t="s">
        <v>6</v>
      </c>
      <c r="B201" t="s">
        <v>110</v>
      </c>
      <c r="C201" t="s">
        <v>193</v>
      </c>
      <c r="D201" s="110">
        <v>1749833.45</v>
      </c>
      <c r="E201" s="110">
        <v>1670949.4</v>
      </c>
      <c r="I201" s="110">
        <v>911383.73</v>
      </c>
      <c r="J201" s="110">
        <v>1330479.17</v>
      </c>
    </row>
    <row r="202" spans="1:12" x14ac:dyDescent="0.2">
      <c r="A202" t="s">
        <v>6</v>
      </c>
      <c r="B202" t="s">
        <v>110</v>
      </c>
      <c r="C202" t="s">
        <v>194</v>
      </c>
      <c r="D202" s="110">
        <v>1606456.85</v>
      </c>
      <c r="I202" s="110">
        <v>831184.56</v>
      </c>
    </row>
    <row r="203" spans="1:12" x14ac:dyDescent="0.2">
      <c r="A203" t="s">
        <v>7</v>
      </c>
      <c r="B203" t="s">
        <v>104</v>
      </c>
      <c r="C203" t="s">
        <v>191</v>
      </c>
      <c r="D203" s="110">
        <v>2302567.46</v>
      </c>
      <c r="E203" s="110">
        <v>2325180.46</v>
      </c>
      <c r="F203" s="110">
        <v>2331662.2599999998</v>
      </c>
      <c r="G203" s="110">
        <v>2332542.2599999998</v>
      </c>
      <c r="I203" s="110">
        <v>62193.98</v>
      </c>
      <c r="J203" s="110">
        <v>110114.21</v>
      </c>
      <c r="K203" s="110">
        <v>141791.35999999999</v>
      </c>
      <c r="L203" s="110">
        <v>182362.37</v>
      </c>
    </row>
    <row r="204" spans="1:12" x14ac:dyDescent="0.2">
      <c r="A204" t="s">
        <v>7</v>
      </c>
      <c r="B204" t="s">
        <v>104</v>
      </c>
      <c r="C204" t="s">
        <v>192</v>
      </c>
      <c r="D204" s="110">
        <v>2366078.06</v>
      </c>
      <c r="E204" s="110">
        <v>2362298.86</v>
      </c>
      <c r="F204" s="110">
        <v>2369750.86</v>
      </c>
      <c r="I204" s="110">
        <v>100694.93</v>
      </c>
      <c r="J204" s="110">
        <v>151898.14000000001</v>
      </c>
      <c r="K204" s="110">
        <v>190339.8</v>
      </c>
    </row>
    <row r="205" spans="1:12" x14ac:dyDescent="0.2">
      <c r="A205" t="s">
        <v>7</v>
      </c>
      <c r="B205" t="s">
        <v>104</v>
      </c>
      <c r="C205" t="s">
        <v>193</v>
      </c>
      <c r="D205" s="110">
        <v>4103297.73</v>
      </c>
      <c r="E205" s="110">
        <v>4085811.23</v>
      </c>
      <c r="I205" s="110">
        <v>82584.38</v>
      </c>
      <c r="J205" s="110">
        <v>130329.84</v>
      </c>
    </row>
    <row r="206" spans="1:12" x14ac:dyDescent="0.2">
      <c r="A206" t="s">
        <v>7</v>
      </c>
      <c r="B206" t="s">
        <v>104</v>
      </c>
      <c r="C206" t="s">
        <v>194</v>
      </c>
      <c r="D206" s="110">
        <v>3256441.67</v>
      </c>
      <c r="I206" s="110">
        <v>70277.710000000006</v>
      </c>
    </row>
    <row r="207" spans="1:12" x14ac:dyDescent="0.2">
      <c r="A207" t="s">
        <v>7</v>
      </c>
      <c r="B207" t="s">
        <v>140</v>
      </c>
      <c r="C207" t="s">
        <v>191</v>
      </c>
      <c r="D207" s="110">
        <v>445922.2</v>
      </c>
      <c r="E207" s="110">
        <v>446581.2</v>
      </c>
      <c r="F207" s="110">
        <v>446581.2</v>
      </c>
      <c r="G207" s="110">
        <v>446576.2</v>
      </c>
      <c r="I207" s="110">
        <v>1270.74</v>
      </c>
      <c r="J207" s="110">
        <v>1445.75</v>
      </c>
      <c r="K207" s="110">
        <v>2078.13</v>
      </c>
      <c r="L207" s="110">
        <v>2188.5100000000002</v>
      </c>
    </row>
    <row r="208" spans="1:12" x14ac:dyDescent="0.2">
      <c r="A208" t="s">
        <v>7</v>
      </c>
      <c r="B208" t="s">
        <v>140</v>
      </c>
      <c r="C208" t="s">
        <v>192</v>
      </c>
      <c r="D208" s="110">
        <v>330316.59999999998</v>
      </c>
      <c r="E208" s="110">
        <v>340716.6</v>
      </c>
      <c r="F208" s="110">
        <v>340716.6</v>
      </c>
      <c r="I208" s="110">
        <v>1139.1099999999999</v>
      </c>
      <c r="J208" s="110">
        <v>1264.99</v>
      </c>
      <c r="K208" s="110">
        <v>1434.21</v>
      </c>
    </row>
    <row r="209" spans="1:12" x14ac:dyDescent="0.2">
      <c r="A209" t="s">
        <v>7</v>
      </c>
      <c r="B209" t="s">
        <v>140</v>
      </c>
      <c r="C209" t="s">
        <v>193</v>
      </c>
      <c r="D209" s="110">
        <v>1502654.68</v>
      </c>
      <c r="E209" s="110">
        <v>1503054.68</v>
      </c>
      <c r="I209" s="110">
        <v>1268.18</v>
      </c>
      <c r="J209" s="110">
        <v>1391.26</v>
      </c>
    </row>
    <row r="210" spans="1:12" x14ac:dyDescent="0.2">
      <c r="A210" t="s">
        <v>7</v>
      </c>
      <c r="B210" t="s">
        <v>140</v>
      </c>
      <c r="C210" t="s">
        <v>194</v>
      </c>
      <c r="D210" s="110">
        <v>999113.95</v>
      </c>
      <c r="I210" s="110">
        <v>1260.32</v>
      </c>
    </row>
    <row r="211" spans="1:12" x14ac:dyDescent="0.2">
      <c r="A211" t="s">
        <v>7</v>
      </c>
      <c r="B211" t="s">
        <v>105</v>
      </c>
      <c r="C211" t="s">
        <v>191</v>
      </c>
      <c r="D211" s="110">
        <v>1732800.14</v>
      </c>
      <c r="E211" s="110">
        <v>1730634.74</v>
      </c>
      <c r="F211" s="110">
        <v>1700501.63</v>
      </c>
      <c r="G211" s="110">
        <v>1683311.64</v>
      </c>
      <c r="I211" s="110">
        <v>287920.23</v>
      </c>
      <c r="J211" s="110">
        <v>476870.17</v>
      </c>
      <c r="K211" s="110">
        <v>590334.89</v>
      </c>
      <c r="L211" s="110">
        <v>639000.56999999995</v>
      </c>
    </row>
    <row r="212" spans="1:12" x14ac:dyDescent="0.2">
      <c r="A212" t="s">
        <v>7</v>
      </c>
      <c r="B212" t="s">
        <v>105</v>
      </c>
      <c r="C212" t="s">
        <v>192</v>
      </c>
      <c r="D212" s="110">
        <v>1991255.21</v>
      </c>
      <c r="E212" s="110">
        <v>1944982.71</v>
      </c>
      <c r="F212" s="110">
        <v>1907596.21</v>
      </c>
      <c r="I212" s="110">
        <v>332647.78000000003</v>
      </c>
      <c r="J212" s="110">
        <v>506301.03</v>
      </c>
      <c r="K212" s="110">
        <v>630520.30000000005</v>
      </c>
    </row>
    <row r="213" spans="1:12" x14ac:dyDescent="0.2">
      <c r="A213" t="s">
        <v>7</v>
      </c>
      <c r="B213" t="s">
        <v>105</v>
      </c>
      <c r="C213" t="s">
        <v>193</v>
      </c>
      <c r="D213" s="110">
        <v>2070282.73</v>
      </c>
      <c r="E213" s="110">
        <v>2015447.73</v>
      </c>
      <c r="I213" s="110">
        <v>375006.02</v>
      </c>
      <c r="J213" s="110">
        <v>565924.44999999995</v>
      </c>
    </row>
    <row r="214" spans="1:12" x14ac:dyDescent="0.2">
      <c r="A214" t="s">
        <v>7</v>
      </c>
      <c r="B214" t="s">
        <v>105</v>
      </c>
      <c r="C214" t="s">
        <v>194</v>
      </c>
      <c r="D214" s="110">
        <v>1878120.09</v>
      </c>
      <c r="I214" s="110">
        <v>315894.28000000003</v>
      </c>
    </row>
    <row r="215" spans="1:12" x14ac:dyDescent="0.2">
      <c r="A215" t="s">
        <v>7</v>
      </c>
      <c r="B215" t="s">
        <v>111</v>
      </c>
      <c r="C215" t="s">
        <v>191</v>
      </c>
      <c r="D215" s="110">
        <v>322715</v>
      </c>
      <c r="E215" s="110">
        <v>322116</v>
      </c>
      <c r="F215" s="110">
        <v>321466</v>
      </c>
      <c r="G215" s="110">
        <v>321316</v>
      </c>
      <c r="I215" s="110">
        <v>4706</v>
      </c>
      <c r="J215" s="110">
        <v>7226</v>
      </c>
      <c r="K215" s="110">
        <v>9246</v>
      </c>
      <c r="L215" s="110">
        <v>9967</v>
      </c>
    </row>
    <row r="216" spans="1:12" x14ac:dyDescent="0.2">
      <c r="A216" t="s">
        <v>7</v>
      </c>
      <c r="B216" t="s">
        <v>111</v>
      </c>
      <c r="C216" t="s">
        <v>192</v>
      </c>
      <c r="D216" s="110">
        <v>198666</v>
      </c>
      <c r="E216" s="110">
        <v>197566</v>
      </c>
      <c r="F216" s="110">
        <v>197317</v>
      </c>
      <c r="I216" s="110">
        <v>4436</v>
      </c>
      <c r="J216" s="110">
        <v>6523</v>
      </c>
      <c r="K216" s="110">
        <v>7093</v>
      </c>
    </row>
    <row r="217" spans="1:12" x14ac:dyDescent="0.2">
      <c r="A217" t="s">
        <v>7</v>
      </c>
      <c r="B217" t="s">
        <v>111</v>
      </c>
      <c r="C217" t="s">
        <v>193</v>
      </c>
      <c r="D217" s="110">
        <v>203690</v>
      </c>
      <c r="E217" s="110">
        <v>195723</v>
      </c>
      <c r="I217" s="110">
        <v>4674</v>
      </c>
      <c r="J217" s="110">
        <v>7302</v>
      </c>
    </row>
    <row r="218" spans="1:12" x14ac:dyDescent="0.2">
      <c r="A218" t="s">
        <v>7</v>
      </c>
      <c r="B218" t="s">
        <v>111</v>
      </c>
      <c r="C218" t="s">
        <v>194</v>
      </c>
      <c r="D218" s="110">
        <v>206983</v>
      </c>
      <c r="I218" s="110">
        <v>3324</v>
      </c>
    </row>
    <row r="219" spans="1:12" x14ac:dyDescent="0.2">
      <c r="A219" t="s">
        <v>7</v>
      </c>
      <c r="B219" t="s">
        <v>109</v>
      </c>
      <c r="C219" t="s">
        <v>191</v>
      </c>
      <c r="D219" s="110">
        <v>1287786.2</v>
      </c>
      <c r="E219" s="110">
        <v>1146756.5</v>
      </c>
      <c r="F219" s="110">
        <v>1068670.5</v>
      </c>
      <c r="G219" s="110">
        <v>1038154</v>
      </c>
      <c r="I219" s="110">
        <v>137960.25</v>
      </c>
      <c r="J219" s="110">
        <v>334497.34999999998</v>
      </c>
      <c r="K219" s="110">
        <v>455110</v>
      </c>
      <c r="L219" s="110">
        <v>495646.22</v>
      </c>
    </row>
    <row r="220" spans="1:12" x14ac:dyDescent="0.2">
      <c r="A220" t="s">
        <v>7</v>
      </c>
      <c r="B220" t="s">
        <v>109</v>
      </c>
      <c r="C220" t="s">
        <v>192</v>
      </c>
      <c r="D220" s="110">
        <v>1381649.6</v>
      </c>
      <c r="E220" s="110">
        <v>1205332.6000000001</v>
      </c>
      <c r="F220" s="110">
        <v>1135631.1000000001</v>
      </c>
      <c r="I220" s="110">
        <v>175103.35</v>
      </c>
      <c r="J220" s="110">
        <v>352179.6</v>
      </c>
      <c r="K220" s="110">
        <v>469618.1</v>
      </c>
    </row>
    <row r="221" spans="1:12" x14ac:dyDescent="0.2">
      <c r="A221" t="s">
        <v>7</v>
      </c>
      <c r="B221" t="s">
        <v>109</v>
      </c>
      <c r="C221" t="s">
        <v>193</v>
      </c>
      <c r="D221" s="110">
        <v>1459304.15</v>
      </c>
      <c r="E221" s="110">
        <v>1269105.1499999999</v>
      </c>
      <c r="I221" s="110">
        <v>166402.39000000001</v>
      </c>
      <c r="J221" s="110">
        <v>347696.14</v>
      </c>
    </row>
    <row r="222" spans="1:12" x14ac:dyDescent="0.2">
      <c r="A222" t="s">
        <v>7</v>
      </c>
      <c r="B222" t="s">
        <v>109</v>
      </c>
      <c r="C222" t="s">
        <v>194</v>
      </c>
      <c r="D222" s="110">
        <v>1436432.65</v>
      </c>
      <c r="I222" s="110">
        <v>157679.9</v>
      </c>
    </row>
    <row r="223" spans="1:12" x14ac:dyDescent="0.2">
      <c r="A223" t="s">
        <v>7</v>
      </c>
      <c r="B223" t="s">
        <v>106</v>
      </c>
      <c r="C223" t="s">
        <v>191</v>
      </c>
      <c r="D223" s="110">
        <v>3836444.09</v>
      </c>
      <c r="E223" s="110">
        <v>3815973.59</v>
      </c>
      <c r="F223" s="110">
        <v>3803984.09</v>
      </c>
      <c r="G223" s="110">
        <v>3800984.09</v>
      </c>
      <c r="I223" s="110">
        <v>3825882.59</v>
      </c>
      <c r="J223" s="110">
        <v>3806621.09</v>
      </c>
      <c r="K223" s="110">
        <v>3794789.09</v>
      </c>
      <c r="L223" s="110">
        <v>3791931.09</v>
      </c>
    </row>
    <row r="224" spans="1:12" x14ac:dyDescent="0.2">
      <c r="A224" t="s">
        <v>7</v>
      </c>
      <c r="B224" t="s">
        <v>106</v>
      </c>
      <c r="C224" t="s">
        <v>192</v>
      </c>
      <c r="D224" s="110">
        <v>5003718.62</v>
      </c>
      <c r="E224" s="110">
        <v>4984169.92</v>
      </c>
      <c r="F224" s="110">
        <v>4953573.37</v>
      </c>
      <c r="I224" s="110">
        <v>4975298.57</v>
      </c>
      <c r="J224" s="110">
        <v>4955622.07</v>
      </c>
      <c r="K224" s="110">
        <v>4947781.07</v>
      </c>
    </row>
    <row r="225" spans="1:12" x14ac:dyDescent="0.2">
      <c r="A225" t="s">
        <v>7</v>
      </c>
      <c r="B225" t="s">
        <v>106</v>
      </c>
      <c r="C225" t="s">
        <v>193</v>
      </c>
      <c r="D225" s="110">
        <v>5922608.8200000003</v>
      </c>
      <c r="E225" s="110">
        <v>5741289.2999999998</v>
      </c>
      <c r="I225" s="110">
        <v>5913348.6200000001</v>
      </c>
      <c r="J225" s="110">
        <v>5732585.0999999996</v>
      </c>
    </row>
    <row r="226" spans="1:12" x14ac:dyDescent="0.2">
      <c r="A226" t="s">
        <v>7</v>
      </c>
      <c r="B226" t="s">
        <v>106</v>
      </c>
      <c r="C226" t="s">
        <v>194</v>
      </c>
      <c r="D226" s="110">
        <v>5617812.5099999998</v>
      </c>
      <c r="I226" s="110">
        <v>5579685.4100000001</v>
      </c>
    </row>
    <row r="227" spans="1:12" x14ac:dyDescent="0.2">
      <c r="A227" t="s">
        <v>7</v>
      </c>
      <c r="B227" t="s">
        <v>107</v>
      </c>
      <c r="C227" t="s">
        <v>191</v>
      </c>
      <c r="D227" s="110">
        <v>3667622.16</v>
      </c>
      <c r="E227" s="110">
        <v>3666902.66</v>
      </c>
      <c r="F227" s="110">
        <v>3666902.66</v>
      </c>
      <c r="G227" s="110">
        <v>3666902.66</v>
      </c>
      <c r="I227" s="110">
        <v>3666711.16</v>
      </c>
      <c r="J227" s="110">
        <v>3666005.16</v>
      </c>
      <c r="K227" s="110">
        <v>3666005.16</v>
      </c>
      <c r="L227" s="110">
        <v>3666065.16</v>
      </c>
    </row>
    <row r="228" spans="1:12" x14ac:dyDescent="0.2">
      <c r="A228" t="s">
        <v>7</v>
      </c>
      <c r="B228" t="s">
        <v>107</v>
      </c>
      <c r="C228" t="s">
        <v>192</v>
      </c>
      <c r="D228" s="110">
        <v>3694347.94</v>
      </c>
      <c r="E228" s="110">
        <v>3694019.94</v>
      </c>
      <c r="F228" s="110">
        <v>3627419.94</v>
      </c>
      <c r="I228" s="110">
        <v>3691897.35</v>
      </c>
      <c r="J228" s="110">
        <v>3691569.35</v>
      </c>
      <c r="K228" s="110">
        <v>3624969.35</v>
      </c>
    </row>
    <row r="229" spans="1:12" x14ac:dyDescent="0.2">
      <c r="A229" t="s">
        <v>7</v>
      </c>
      <c r="B229" t="s">
        <v>107</v>
      </c>
      <c r="C229" t="s">
        <v>193</v>
      </c>
      <c r="D229" s="110">
        <v>4328653.9400000004</v>
      </c>
      <c r="E229" s="110">
        <v>4324355.9400000004</v>
      </c>
      <c r="I229" s="110">
        <v>4326697.9400000004</v>
      </c>
      <c r="J229" s="110">
        <v>4322828.1399999997</v>
      </c>
    </row>
    <row r="230" spans="1:12" x14ac:dyDescent="0.2">
      <c r="A230" t="s">
        <v>7</v>
      </c>
      <c r="B230" t="s">
        <v>107</v>
      </c>
      <c r="C230" t="s">
        <v>194</v>
      </c>
      <c r="D230" s="110">
        <v>4027995.04</v>
      </c>
      <c r="I230" s="110">
        <v>4021776.54</v>
      </c>
    </row>
    <row r="231" spans="1:12" x14ac:dyDescent="0.2">
      <c r="A231" t="s">
        <v>7</v>
      </c>
      <c r="B231" t="s">
        <v>108</v>
      </c>
      <c r="C231" t="s">
        <v>191</v>
      </c>
      <c r="D231" s="110">
        <v>620493</v>
      </c>
      <c r="E231" s="110">
        <v>619812</v>
      </c>
      <c r="F231" s="110">
        <v>616717</v>
      </c>
      <c r="G231" s="110">
        <v>615533</v>
      </c>
      <c r="I231" s="110">
        <v>619182</v>
      </c>
      <c r="J231" s="110">
        <v>618275</v>
      </c>
      <c r="K231" s="110">
        <v>615180</v>
      </c>
      <c r="L231" s="110">
        <v>614017</v>
      </c>
    </row>
    <row r="232" spans="1:12" x14ac:dyDescent="0.2">
      <c r="A232" t="s">
        <v>7</v>
      </c>
      <c r="B232" t="s">
        <v>108</v>
      </c>
      <c r="C232" t="s">
        <v>192</v>
      </c>
      <c r="D232" s="110">
        <v>563911</v>
      </c>
      <c r="E232" s="110">
        <v>561768</v>
      </c>
      <c r="F232" s="110">
        <v>560916</v>
      </c>
      <c r="I232" s="110">
        <v>558995</v>
      </c>
      <c r="J232" s="110">
        <v>557965</v>
      </c>
      <c r="K232" s="110">
        <v>557121</v>
      </c>
    </row>
    <row r="233" spans="1:12" x14ac:dyDescent="0.2">
      <c r="A233" t="s">
        <v>7</v>
      </c>
      <c r="B233" t="s">
        <v>108</v>
      </c>
      <c r="C233" t="s">
        <v>193</v>
      </c>
      <c r="D233" s="110">
        <v>636052</v>
      </c>
      <c r="E233" s="110">
        <v>634768</v>
      </c>
      <c r="I233" s="110">
        <v>630130</v>
      </c>
      <c r="J233" s="110">
        <v>629238</v>
      </c>
    </row>
    <row r="234" spans="1:12" x14ac:dyDescent="0.2">
      <c r="A234" t="s">
        <v>7</v>
      </c>
      <c r="B234" t="s">
        <v>108</v>
      </c>
      <c r="C234" t="s">
        <v>194</v>
      </c>
      <c r="D234" s="110">
        <v>581505</v>
      </c>
      <c r="I234" s="110">
        <v>573397</v>
      </c>
    </row>
    <row r="235" spans="1:12" x14ac:dyDescent="0.2">
      <c r="A235" t="s">
        <v>7</v>
      </c>
      <c r="B235" t="s">
        <v>70</v>
      </c>
      <c r="C235" t="s">
        <v>191</v>
      </c>
      <c r="D235" s="110">
        <v>1153583.01</v>
      </c>
      <c r="E235" s="110">
        <v>1152552.01</v>
      </c>
      <c r="F235" s="110">
        <v>1152552.01</v>
      </c>
      <c r="G235" s="110">
        <v>1152552.01</v>
      </c>
      <c r="I235" s="110">
        <v>1141676.3899999999</v>
      </c>
      <c r="J235" s="110">
        <v>1142955.75</v>
      </c>
      <c r="K235" s="110">
        <v>1146152.6499999999</v>
      </c>
      <c r="L235" s="110">
        <v>1146325.99</v>
      </c>
    </row>
    <row r="236" spans="1:12" x14ac:dyDescent="0.2">
      <c r="A236" t="s">
        <v>7</v>
      </c>
      <c r="B236" t="s">
        <v>70</v>
      </c>
      <c r="C236" t="s">
        <v>192</v>
      </c>
      <c r="D236" s="110">
        <v>1055841.8999999999</v>
      </c>
      <c r="E236" s="110">
        <v>1055422.8999999999</v>
      </c>
      <c r="F236" s="110">
        <v>1041922.9</v>
      </c>
      <c r="I236" s="110">
        <v>1045256.7</v>
      </c>
      <c r="J236" s="110">
        <v>1047903.71</v>
      </c>
      <c r="K236" s="110">
        <v>1035446.99</v>
      </c>
    </row>
    <row r="237" spans="1:12" x14ac:dyDescent="0.2">
      <c r="A237" t="s">
        <v>7</v>
      </c>
      <c r="B237" t="s">
        <v>70</v>
      </c>
      <c r="C237" t="s">
        <v>193</v>
      </c>
      <c r="D237" s="110">
        <v>1161934.6499999999</v>
      </c>
      <c r="E237" s="110">
        <v>1161170.6499999999</v>
      </c>
      <c r="I237" s="110">
        <v>1142872.3500000001</v>
      </c>
      <c r="J237" s="110">
        <v>1145287.6000000001</v>
      </c>
    </row>
    <row r="238" spans="1:12" x14ac:dyDescent="0.2">
      <c r="A238" t="s">
        <v>7</v>
      </c>
      <c r="B238" t="s">
        <v>70</v>
      </c>
      <c r="C238" t="s">
        <v>194</v>
      </c>
      <c r="D238" s="110">
        <v>1113086.8999999999</v>
      </c>
      <c r="I238" s="110">
        <v>1093483.97</v>
      </c>
    </row>
    <row r="239" spans="1:12" x14ac:dyDescent="0.2">
      <c r="A239" t="s">
        <v>7</v>
      </c>
      <c r="B239" t="s">
        <v>110</v>
      </c>
      <c r="C239" t="s">
        <v>191</v>
      </c>
      <c r="D239" s="110">
        <v>7955379.0999999996</v>
      </c>
      <c r="E239" s="110">
        <v>7157208.7999999998</v>
      </c>
      <c r="F239" s="110">
        <v>6927525.5499999998</v>
      </c>
      <c r="G239" s="110">
        <v>6863924.5499999998</v>
      </c>
      <c r="I239" s="110">
        <v>2127958.02</v>
      </c>
      <c r="J239" s="110">
        <v>4236763.05</v>
      </c>
      <c r="K239" s="110">
        <v>5464010.8399999999</v>
      </c>
      <c r="L239" s="110">
        <v>5740841.3499999996</v>
      </c>
    </row>
    <row r="240" spans="1:12" x14ac:dyDescent="0.2">
      <c r="A240" t="s">
        <v>7</v>
      </c>
      <c r="B240" t="s">
        <v>110</v>
      </c>
      <c r="C240" t="s">
        <v>192</v>
      </c>
      <c r="D240" s="110">
        <v>10332624.550000001</v>
      </c>
      <c r="E240" s="110">
        <v>8642752.1500000004</v>
      </c>
      <c r="F240" s="110">
        <v>8379922.6500000004</v>
      </c>
      <c r="I240" s="110">
        <v>2727116.55</v>
      </c>
      <c r="J240" s="110">
        <v>5152713.2</v>
      </c>
      <c r="K240" s="110">
        <v>6435818.0800000001</v>
      </c>
    </row>
    <row r="241" spans="1:12" x14ac:dyDescent="0.2">
      <c r="A241" t="s">
        <v>7</v>
      </c>
      <c r="B241" t="s">
        <v>110</v>
      </c>
      <c r="C241" t="s">
        <v>193</v>
      </c>
      <c r="D241" s="110">
        <v>10817550.5</v>
      </c>
      <c r="E241" s="110">
        <v>9133604.75</v>
      </c>
      <c r="I241" s="110">
        <v>2611868</v>
      </c>
      <c r="J241" s="110">
        <v>5123680.13</v>
      </c>
    </row>
    <row r="242" spans="1:12" x14ac:dyDescent="0.2">
      <c r="A242" t="s">
        <v>7</v>
      </c>
      <c r="B242" t="s">
        <v>110</v>
      </c>
      <c r="C242" t="s">
        <v>194</v>
      </c>
      <c r="D242" s="110">
        <v>11340723.810000001</v>
      </c>
      <c r="I242" s="110">
        <v>2631920.15</v>
      </c>
    </row>
    <row r="243" spans="1:12" x14ac:dyDescent="0.2">
      <c r="A243" t="s">
        <v>8</v>
      </c>
      <c r="B243" t="s">
        <v>104</v>
      </c>
      <c r="C243" t="s">
        <v>191</v>
      </c>
      <c r="D243" s="110">
        <v>63529</v>
      </c>
      <c r="E243" s="110">
        <v>63529</v>
      </c>
      <c r="F243" s="110">
        <v>63529</v>
      </c>
      <c r="G243" s="110">
        <v>63529</v>
      </c>
      <c r="I243" s="110">
        <v>1950</v>
      </c>
      <c r="J243" s="110">
        <v>3031</v>
      </c>
      <c r="K243" s="110">
        <v>5443</v>
      </c>
      <c r="L243" s="110">
        <v>6176</v>
      </c>
    </row>
    <row r="244" spans="1:12" x14ac:dyDescent="0.2">
      <c r="A244" t="s">
        <v>8</v>
      </c>
      <c r="B244" t="s">
        <v>104</v>
      </c>
      <c r="C244" t="s">
        <v>192</v>
      </c>
      <c r="D244" s="110">
        <v>68209</v>
      </c>
      <c r="E244" s="110">
        <v>68209</v>
      </c>
      <c r="F244" s="110">
        <v>68209</v>
      </c>
      <c r="I244" s="110">
        <v>63</v>
      </c>
      <c r="J244" s="110">
        <v>867</v>
      </c>
      <c r="K244" s="110">
        <v>1259</v>
      </c>
    </row>
    <row r="245" spans="1:12" x14ac:dyDescent="0.2">
      <c r="A245" t="s">
        <v>8</v>
      </c>
      <c r="B245" t="s">
        <v>104</v>
      </c>
      <c r="C245" t="s">
        <v>193</v>
      </c>
      <c r="D245" s="110">
        <v>110603</v>
      </c>
      <c r="E245" s="110">
        <v>110603</v>
      </c>
      <c r="I245" s="110">
        <v>689</v>
      </c>
      <c r="J245" s="110">
        <v>1263</v>
      </c>
    </row>
    <row r="246" spans="1:12" x14ac:dyDescent="0.2">
      <c r="A246" t="s">
        <v>8</v>
      </c>
      <c r="B246" t="s">
        <v>104</v>
      </c>
      <c r="C246" t="s">
        <v>194</v>
      </c>
      <c r="D246" s="110">
        <v>73460</v>
      </c>
      <c r="I246" s="110">
        <v>555</v>
      </c>
    </row>
    <row r="247" spans="1:12" x14ac:dyDescent="0.2">
      <c r="A247" t="s">
        <v>8</v>
      </c>
      <c r="B247" t="s">
        <v>140</v>
      </c>
      <c r="C247" t="s">
        <v>191</v>
      </c>
    </row>
    <row r="248" spans="1:12" x14ac:dyDescent="0.2">
      <c r="A248" t="s">
        <v>8</v>
      </c>
      <c r="B248" t="s">
        <v>140</v>
      </c>
      <c r="C248" t="s">
        <v>192</v>
      </c>
      <c r="D248" s="110">
        <v>2104</v>
      </c>
    </row>
    <row r="249" spans="1:12" x14ac:dyDescent="0.2">
      <c r="A249" t="s">
        <v>8</v>
      </c>
      <c r="B249" t="s">
        <v>140</v>
      </c>
      <c r="C249" t="s">
        <v>193</v>
      </c>
      <c r="D249" s="110">
        <v>250</v>
      </c>
    </row>
    <row r="250" spans="1:12" x14ac:dyDescent="0.2">
      <c r="A250" t="s">
        <v>8</v>
      </c>
      <c r="B250" t="s">
        <v>140</v>
      </c>
      <c r="C250" t="s">
        <v>194</v>
      </c>
    </row>
    <row r="251" spans="1:12" x14ac:dyDescent="0.2">
      <c r="A251" t="s">
        <v>8</v>
      </c>
      <c r="B251" t="s">
        <v>105</v>
      </c>
      <c r="C251" t="s">
        <v>191</v>
      </c>
      <c r="D251" s="110">
        <v>13971</v>
      </c>
      <c r="E251" s="110">
        <v>13921</v>
      </c>
      <c r="F251" s="110">
        <v>13871</v>
      </c>
      <c r="G251" s="110">
        <v>13821</v>
      </c>
      <c r="I251" s="110">
        <v>818</v>
      </c>
      <c r="J251" s="110">
        <v>3809</v>
      </c>
      <c r="K251" s="110">
        <v>4905</v>
      </c>
      <c r="L251" s="110">
        <v>5719</v>
      </c>
    </row>
    <row r="252" spans="1:12" x14ac:dyDescent="0.2">
      <c r="A252" t="s">
        <v>8</v>
      </c>
      <c r="B252" t="s">
        <v>105</v>
      </c>
      <c r="C252" t="s">
        <v>192</v>
      </c>
      <c r="D252" s="110">
        <v>15704</v>
      </c>
      <c r="E252" s="110">
        <v>15704</v>
      </c>
      <c r="F252" s="110">
        <v>15704</v>
      </c>
      <c r="I252" s="110">
        <v>3917</v>
      </c>
      <c r="J252" s="110">
        <v>9160</v>
      </c>
      <c r="K252" s="110">
        <v>11148</v>
      </c>
    </row>
    <row r="253" spans="1:12" x14ac:dyDescent="0.2">
      <c r="A253" t="s">
        <v>8</v>
      </c>
      <c r="B253" t="s">
        <v>105</v>
      </c>
      <c r="C253" t="s">
        <v>193</v>
      </c>
      <c r="D253" s="110">
        <v>13478</v>
      </c>
      <c r="E253" s="110">
        <v>13478</v>
      </c>
      <c r="I253" s="110">
        <v>1930</v>
      </c>
      <c r="J253" s="110">
        <v>2749</v>
      </c>
    </row>
    <row r="254" spans="1:12" x14ac:dyDescent="0.2">
      <c r="A254" t="s">
        <v>8</v>
      </c>
      <c r="B254" t="s">
        <v>105</v>
      </c>
      <c r="C254" t="s">
        <v>194</v>
      </c>
      <c r="D254" s="110">
        <v>24097</v>
      </c>
      <c r="I254" s="110">
        <v>2720</v>
      </c>
    </row>
    <row r="255" spans="1:12" x14ac:dyDescent="0.2">
      <c r="A255" t="s">
        <v>8</v>
      </c>
      <c r="B255" t="s">
        <v>111</v>
      </c>
      <c r="C255" t="s">
        <v>191</v>
      </c>
      <c r="D255" s="110">
        <v>381</v>
      </c>
      <c r="E255" s="110">
        <v>381</v>
      </c>
      <c r="F255" s="110">
        <v>381</v>
      </c>
      <c r="G255" s="110">
        <v>381</v>
      </c>
      <c r="I255" s="110">
        <v>72</v>
      </c>
      <c r="J255" s="110">
        <v>102</v>
      </c>
      <c r="K255" s="110">
        <v>122</v>
      </c>
      <c r="L255" s="110">
        <v>132</v>
      </c>
    </row>
    <row r="256" spans="1:12" x14ac:dyDescent="0.2">
      <c r="A256" t="s">
        <v>8</v>
      </c>
      <c r="B256" t="s">
        <v>111</v>
      </c>
      <c r="C256" t="s">
        <v>192</v>
      </c>
      <c r="D256" s="110">
        <v>249</v>
      </c>
      <c r="E256" s="110">
        <v>249</v>
      </c>
      <c r="F256" s="110">
        <v>249</v>
      </c>
    </row>
    <row r="257" spans="1:12" x14ac:dyDescent="0.2">
      <c r="A257" t="s">
        <v>8</v>
      </c>
      <c r="B257" t="s">
        <v>111</v>
      </c>
      <c r="C257" t="s">
        <v>193</v>
      </c>
    </row>
    <row r="258" spans="1:12" x14ac:dyDescent="0.2">
      <c r="A258" t="s">
        <v>8</v>
      </c>
      <c r="B258" t="s">
        <v>111</v>
      </c>
      <c r="C258" t="s">
        <v>194</v>
      </c>
    </row>
    <row r="259" spans="1:12" x14ac:dyDescent="0.2">
      <c r="A259" t="s">
        <v>8</v>
      </c>
      <c r="B259" t="s">
        <v>109</v>
      </c>
      <c r="C259" t="s">
        <v>191</v>
      </c>
      <c r="D259" s="110">
        <v>10097</v>
      </c>
      <c r="E259" s="110">
        <v>10047</v>
      </c>
      <c r="F259" s="110">
        <v>10047</v>
      </c>
      <c r="G259" s="110">
        <v>10027</v>
      </c>
      <c r="I259" s="110">
        <v>3160</v>
      </c>
      <c r="J259" s="110">
        <v>3753</v>
      </c>
      <c r="K259" s="110">
        <v>3858</v>
      </c>
      <c r="L259" s="110">
        <v>3858</v>
      </c>
    </row>
    <row r="260" spans="1:12" x14ac:dyDescent="0.2">
      <c r="A260" t="s">
        <v>8</v>
      </c>
      <c r="B260" t="s">
        <v>109</v>
      </c>
      <c r="C260" t="s">
        <v>192</v>
      </c>
      <c r="D260" s="110">
        <v>9198</v>
      </c>
      <c r="E260" s="110">
        <v>9198</v>
      </c>
      <c r="F260" s="110">
        <v>9198</v>
      </c>
      <c r="I260" s="110">
        <v>2438</v>
      </c>
      <c r="J260" s="110">
        <v>4000</v>
      </c>
      <c r="K260" s="110">
        <v>4855</v>
      </c>
    </row>
    <row r="261" spans="1:12" x14ac:dyDescent="0.2">
      <c r="A261" t="s">
        <v>8</v>
      </c>
      <c r="B261" t="s">
        <v>109</v>
      </c>
      <c r="C261" t="s">
        <v>193</v>
      </c>
      <c r="D261" s="110">
        <v>6746</v>
      </c>
      <c r="E261" s="110">
        <v>6746</v>
      </c>
      <c r="I261" s="110">
        <v>1309</v>
      </c>
      <c r="J261" s="110">
        <v>2109</v>
      </c>
    </row>
    <row r="262" spans="1:12" x14ac:dyDescent="0.2">
      <c r="A262" t="s">
        <v>8</v>
      </c>
      <c r="B262" t="s">
        <v>109</v>
      </c>
      <c r="C262" t="s">
        <v>194</v>
      </c>
      <c r="D262" s="110">
        <v>9406</v>
      </c>
      <c r="I262" s="110">
        <v>2879</v>
      </c>
    </row>
    <row r="263" spans="1:12" x14ac:dyDescent="0.2">
      <c r="A263" t="s">
        <v>8</v>
      </c>
      <c r="B263" t="s">
        <v>106</v>
      </c>
      <c r="C263" t="s">
        <v>191</v>
      </c>
      <c r="D263" s="110">
        <v>5603</v>
      </c>
      <c r="E263" s="110">
        <v>5603</v>
      </c>
      <c r="F263" s="110">
        <v>5603</v>
      </c>
      <c r="G263" s="110">
        <v>5603</v>
      </c>
      <c r="I263" s="110">
        <v>5603</v>
      </c>
      <c r="J263" s="110">
        <v>5603</v>
      </c>
      <c r="K263" s="110">
        <v>5603</v>
      </c>
      <c r="L263" s="110">
        <v>5603</v>
      </c>
    </row>
    <row r="264" spans="1:12" x14ac:dyDescent="0.2">
      <c r="A264" t="s">
        <v>8</v>
      </c>
      <c r="B264" t="s">
        <v>106</v>
      </c>
      <c r="C264" t="s">
        <v>192</v>
      </c>
      <c r="D264" s="110">
        <v>9720</v>
      </c>
      <c r="E264" s="110">
        <v>9720</v>
      </c>
      <c r="F264" s="110">
        <v>9720</v>
      </c>
      <c r="I264" s="110">
        <v>9720</v>
      </c>
      <c r="J264" s="110">
        <v>9720</v>
      </c>
      <c r="K264" s="110">
        <v>9720</v>
      </c>
    </row>
    <row r="265" spans="1:12" x14ac:dyDescent="0.2">
      <c r="A265" t="s">
        <v>8</v>
      </c>
      <c r="B265" t="s">
        <v>106</v>
      </c>
      <c r="C265" t="s">
        <v>193</v>
      </c>
      <c r="D265" s="110">
        <v>11125</v>
      </c>
      <c r="E265" s="110">
        <v>11125</v>
      </c>
      <c r="I265" s="110">
        <v>11125</v>
      </c>
      <c r="J265" s="110">
        <v>11125</v>
      </c>
    </row>
    <row r="266" spans="1:12" x14ac:dyDescent="0.2">
      <c r="A266" t="s">
        <v>8</v>
      </c>
      <c r="B266" t="s">
        <v>106</v>
      </c>
      <c r="C266" t="s">
        <v>194</v>
      </c>
      <c r="D266" s="110">
        <v>9240</v>
      </c>
      <c r="I266" s="110">
        <v>8830</v>
      </c>
    </row>
    <row r="267" spans="1:12" x14ac:dyDescent="0.2">
      <c r="A267" t="s">
        <v>8</v>
      </c>
      <c r="B267" t="s">
        <v>107</v>
      </c>
      <c r="C267" t="s">
        <v>191</v>
      </c>
      <c r="D267" s="110">
        <v>8329</v>
      </c>
      <c r="E267" s="110">
        <v>8329</v>
      </c>
      <c r="F267" s="110">
        <v>8329</v>
      </c>
      <c r="G267" s="110">
        <v>8329</v>
      </c>
      <c r="I267" s="110">
        <v>8019</v>
      </c>
      <c r="J267" s="110">
        <v>8329</v>
      </c>
      <c r="K267" s="110">
        <v>8329</v>
      </c>
      <c r="L267" s="110">
        <v>8329</v>
      </c>
    </row>
    <row r="268" spans="1:12" x14ac:dyDescent="0.2">
      <c r="A268" t="s">
        <v>8</v>
      </c>
      <c r="B268" t="s">
        <v>107</v>
      </c>
      <c r="C268" t="s">
        <v>192</v>
      </c>
      <c r="D268" s="110">
        <v>11305</v>
      </c>
      <c r="E268" s="110">
        <v>11305</v>
      </c>
      <c r="F268" s="110">
        <v>11305</v>
      </c>
      <c r="I268" s="110">
        <v>11305</v>
      </c>
      <c r="J268" s="110">
        <v>11305</v>
      </c>
      <c r="K268" s="110">
        <v>11305</v>
      </c>
    </row>
    <row r="269" spans="1:12" x14ac:dyDescent="0.2">
      <c r="A269" t="s">
        <v>8</v>
      </c>
      <c r="B269" t="s">
        <v>107</v>
      </c>
      <c r="C269" t="s">
        <v>193</v>
      </c>
      <c r="D269" s="110">
        <v>15295</v>
      </c>
      <c r="E269" s="110">
        <v>15295</v>
      </c>
      <c r="I269" s="110">
        <v>15295</v>
      </c>
      <c r="J269" s="110">
        <v>15295</v>
      </c>
    </row>
    <row r="270" spans="1:12" x14ac:dyDescent="0.2">
      <c r="A270" t="s">
        <v>8</v>
      </c>
      <c r="B270" t="s">
        <v>107</v>
      </c>
      <c r="C270" t="s">
        <v>194</v>
      </c>
      <c r="D270" s="110">
        <v>11937</v>
      </c>
      <c r="I270" s="110">
        <v>11627</v>
      </c>
    </row>
    <row r="271" spans="1:12" x14ac:dyDescent="0.2">
      <c r="A271" t="s">
        <v>8</v>
      </c>
      <c r="B271" t="s">
        <v>108</v>
      </c>
      <c r="C271" t="s">
        <v>191</v>
      </c>
      <c r="D271" s="110">
        <v>2986</v>
      </c>
      <c r="E271" s="110">
        <v>2986</v>
      </c>
      <c r="F271" s="110">
        <v>2986</v>
      </c>
      <c r="G271" s="110">
        <v>2986</v>
      </c>
      <c r="I271" s="110">
        <v>2641</v>
      </c>
      <c r="J271" s="110">
        <v>2986</v>
      </c>
      <c r="K271" s="110">
        <v>2986</v>
      </c>
      <c r="L271" s="110">
        <v>2986</v>
      </c>
    </row>
    <row r="272" spans="1:12" x14ac:dyDescent="0.2">
      <c r="A272" t="s">
        <v>8</v>
      </c>
      <c r="B272" t="s">
        <v>108</v>
      </c>
      <c r="C272" t="s">
        <v>192</v>
      </c>
      <c r="D272" s="110">
        <v>4198</v>
      </c>
      <c r="E272" s="110">
        <v>4198</v>
      </c>
      <c r="F272" s="110">
        <v>4198</v>
      </c>
      <c r="I272" s="110">
        <v>4198</v>
      </c>
      <c r="J272" s="110">
        <v>4198</v>
      </c>
      <c r="K272" s="110">
        <v>4198</v>
      </c>
    </row>
    <row r="273" spans="1:12" x14ac:dyDescent="0.2">
      <c r="A273" t="s">
        <v>8</v>
      </c>
      <c r="B273" t="s">
        <v>108</v>
      </c>
      <c r="C273" t="s">
        <v>193</v>
      </c>
      <c r="D273" s="110">
        <v>4418</v>
      </c>
      <c r="E273" s="110">
        <v>4418</v>
      </c>
      <c r="I273" s="110">
        <v>4418</v>
      </c>
      <c r="J273" s="110">
        <v>4418</v>
      </c>
    </row>
    <row r="274" spans="1:12" x14ac:dyDescent="0.2">
      <c r="A274" t="s">
        <v>8</v>
      </c>
      <c r="B274" t="s">
        <v>108</v>
      </c>
      <c r="C274" t="s">
        <v>194</v>
      </c>
      <c r="D274" s="110">
        <v>4952</v>
      </c>
      <c r="I274" s="110">
        <v>4952</v>
      </c>
    </row>
    <row r="275" spans="1:12" x14ac:dyDescent="0.2">
      <c r="A275" t="s">
        <v>8</v>
      </c>
      <c r="B275" t="s">
        <v>70</v>
      </c>
      <c r="C275" t="s">
        <v>191</v>
      </c>
      <c r="D275" s="110">
        <v>3632</v>
      </c>
      <c r="E275" s="110">
        <v>3632</v>
      </c>
      <c r="F275" s="110">
        <v>3632</v>
      </c>
      <c r="G275" s="110">
        <v>3632</v>
      </c>
      <c r="I275" s="110">
        <v>3632</v>
      </c>
      <c r="J275" s="110">
        <v>3632</v>
      </c>
      <c r="K275" s="110">
        <v>3632</v>
      </c>
      <c r="L275" s="110">
        <v>3632</v>
      </c>
    </row>
    <row r="276" spans="1:12" x14ac:dyDescent="0.2">
      <c r="A276" t="s">
        <v>8</v>
      </c>
      <c r="B276" t="s">
        <v>70</v>
      </c>
      <c r="C276" t="s">
        <v>192</v>
      </c>
      <c r="D276" s="110">
        <v>6214</v>
      </c>
      <c r="E276" s="110">
        <v>6214</v>
      </c>
      <c r="F276" s="110">
        <v>6214</v>
      </c>
      <c r="I276" s="110">
        <v>5506</v>
      </c>
      <c r="J276" s="110">
        <v>5506</v>
      </c>
      <c r="K276" s="110">
        <v>5506</v>
      </c>
    </row>
    <row r="277" spans="1:12" x14ac:dyDescent="0.2">
      <c r="A277" t="s">
        <v>8</v>
      </c>
      <c r="B277" t="s">
        <v>70</v>
      </c>
      <c r="C277" t="s">
        <v>193</v>
      </c>
      <c r="D277" s="110">
        <v>5178</v>
      </c>
      <c r="E277" s="110">
        <v>5178</v>
      </c>
      <c r="I277" s="110">
        <v>4728</v>
      </c>
      <c r="J277" s="110">
        <v>4728</v>
      </c>
    </row>
    <row r="278" spans="1:12" x14ac:dyDescent="0.2">
      <c r="A278" t="s">
        <v>8</v>
      </c>
      <c r="B278" t="s">
        <v>70</v>
      </c>
      <c r="C278" t="s">
        <v>194</v>
      </c>
      <c r="D278" s="110">
        <v>5578</v>
      </c>
      <c r="I278" s="110">
        <v>5158</v>
      </c>
    </row>
    <row r="279" spans="1:12" x14ac:dyDescent="0.2">
      <c r="A279" t="s">
        <v>8</v>
      </c>
      <c r="B279" t="s">
        <v>110</v>
      </c>
      <c r="C279" t="s">
        <v>191</v>
      </c>
      <c r="D279" s="110">
        <v>29958</v>
      </c>
      <c r="E279" s="110">
        <v>28472</v>
      </c>
      <c r="F279" s="110">
        <v>26032</v>
      </c>
      <c r="G279" s="110">
        <v>26032</v>
      </c>
      <c r="I279" s="110">
        <v>11616</v>
      </c>
      <c r="J279" s="110">
        <v>20485</v>
      </c>
      <c r="K279" s="110">
        <v>21720</v>
      </c>
      <c r="L279" s="110">
        <v>21942</v>
      </c>
    </row>
    <row r="280" spans="1:12" x14ac:dyDescent="0.2">
      <c r="A280" t="s">
        <v>8</v>
      </c>
      <c r="B280" t="s">
        <v>110</v>
      </c>
      <c r="C280" t="s">
        <v>192</v>
      </c>
      <c r="D280" s="110">
        <v>34162</v>
      </c>
      <c r="E280" s="110">
        <v>31282</v>
      </c>
      <c r="F280" s="110">
        <v>30457</v>
      </c>
      <c r="I280" s="110">
        <v>11323</v>
      </c>
      <c r="J280" s="110">
        <v>20811</v>
      </c>
      <c r="K280" s="110">
        <v>21613</v>
      </c>
    </row>
    <row r="281" spans="1:12" x14ac:dyDescent="0.2">
      <c r="A281" t="s">
        <v>8</v>
      </c>
      <c r="B281" t="s">
        <v>110</v>
      </c>
      <c r="C281" t="s">
        <v>193</v>
      </c>
      <c r="D281" s="110">
        <v>23936</v>
      </c>
      <c r="E281" s="110">
        <v>23147</v>
      </c>
      <c r="I281" s="110">
        <v>11410</v>
      </c>
      <c r="J281" s="110">
        <v>14649</v>
      </c>
    </row>
    <row r="282" spans="1:12" x14ac:dyDescent="0.2">
      <c r="A282" t="s">
        <v>8</v>
      </c>
      <c r="B282" t="s">
        <v>110</v>
      </c>
      <c r="C282" t="s">
        <v>194</v>
      </c>
      <c r="D282" s="110">
        <v>22737</v>
      </c>
      <c r="I282" s="110">
        <v>6981</v>
      </c>
    </row>
    <row r="283" spans="1:12" x14ac:dyDescent="0.2">
      <c r="A283" t="s">
        <v>9</v>
      </c>
      <c r="B283" t="s">
        <v>104</v>
      </c>
      <c r="C283" t="s">
        <v>191</v>
      </c>
      <c r="D283" s="110">
        <v>417776.45</v>
      </c>
      <c r="E283" s="110">
        <v>410440.62</v>
      </c>
      <c r="F283" s="110">
        <v>408951.27</v>
      </c>
      <c r="G283" s="110">
        <v>406173.35</v>
      </c>
      <c r="I283" s="110">
        <v>23823.279999999999</v>
      </c>
      <c r="J283" s="110">
        <v>56308.19</v>
      </c>
      <c r="K283" s="110">
        <v>72387.78</v>
      </c>
      <c r="L283" s="110">
        <v>86055.79</v>
      </c>
    </row>
    <row r="284" spans="1:12" x14ac:dyDescent="0.2">
      <c r="A284" t="s">
        <v>9</v>
      </c>
      <c r="B284" t="s">
        <v>104</v>
      </c>
      <c r="C284" t="s">
        <v>192</v>
      </c>
      <c r="D284" s="110">
        <v>988167.19</v>
      </c>
      <c r="E284" s="110">
        <v>986612.49</v>
      </c>
      <c r="F284" s="110">
        <v>984914.99</v>
      </c>
      <c r="I284" s="110">
        <v>37013.589999999997</v>
      </c>
      <c r="J284" s="110">
        <v>63515.519999999997</v>
      </c>
      <c r="K284" s="110">
        <v>75303.490000000005</v>
      </c>
    </row>
    <row r="285" spans="1:12" x14ac:dyDescent="0.2">
      <c r="A285" t="s">
        <v>9</v>
      </c>
      <c r="B285" t="s">
        <v>104</v>
      </c>
      <c r="C285" t="s">
        <v>193</v>
      </c>
      <c r="D285" s="110">
        <v>1118113.81</v>
      </c>
      <c r="E285" s="110">
        <v>1117094.68</v>
      </c>
      <c r="I285" s="110">
        <v>34162.03</v>
      </c>
      <c r="J285" s="110">
        <v>61986.32</v>
      </c>
    </row>
    <row r="286" spans="1:12" x14ac:dyDescent="0.2">
      <c r="A286" t="s">
        <v>9</v>
      </c>
      <c r="B286" t="s">
        <v>104</v>
      </c>
      <c r="C286" t="s">
        <v>194</v>
      </c>
      <c r="D286" s="110">
        <v>554142.6</v>
      </c>
      <c r="I286" s="110">
        <v>28574.53</v>
      </c>
    </row>
    <row r="287" spans="1:12" x14ac:dyDescent="0.2">
      <c r="A287" t="s">
        <v>9</v>
      </c>
      <c r="B287" t="s">
        <v>140</v>
      </c>
      <c r="C287" t="s">
        <v>191</v>
      </c>
      <c r="D287" s="110">
        <v>53111</v>
      </c>
      <c r="E287" s="110">
        <v>53111</v>
      </c>
      <c r="F287" s="110">
        <v>53111</v>
      </c>
      <c r="G287" s="110">
        <v>53111</v>
      </c>
    </row>
    <row r="288" spans="1:12" x14ac:dyDescent="0.2">
      <c r="A288" t="s">
        <v>9</v>
      </c>
      <c r="B288" t="s">
        <v>140</v>
      </c>
      <c r="C288" t="s">
        <v>192</v>
      </c>
      <c r="D288" s="110">
        <v>631967</v>
      </c>
      <c r="E288" s="110">
        <v>631967</v>
      </c>
      <c r="F288" s="110">
        <v>631967</v>
      </c>
    </row>
    <row r="289" spans="1:12" x14ac:dyDescent="0.2">
      <c r="A289" t="s">
        <v>9</v>
      </c>
      <c r="B289" t="s">
        <v>140</v>
      </c>
      <c r="C289" t="s">
        <v>193</v>
      </c>
      <c r="D289" s="110">
        <v>740916</v>
      </c>
      <c r="E289" s="110">
        <v>740916</v>
      </c>
    </row>
    <row r="290" spans="1:12" x14ac:dyDescent="0.2">
      <c r="A290" t="s">
        <v>9</v>
      </c>
      <c r="B290" t="s">
        <v>140</v>
      </c>
      <c r="C290" t="s">
        <v>194</v>
      </c>
      <c r="D290" s="110">
        <v>106295.65</v>
      </c>
    </row>
    <row r="291" spans="1:12" x14ac:dyDescent="0.2">
      <c r="A291" t="s">
        <v>9</v>
      </c>
      <c r="B291" t="s">
        <v>105</v>
      </c>
      <c r="C291" t="s">
        <v>191</v>
      </c>
      <c r="D291" s="110">
        <v>206969.85</v>
      </c>
      <c r="E291" s="110">
        <v>205417.85</v>
      </c>
      <c r="F291" s="110">
        <v>205137.35</v>
      </c>
      <c r="G291" s="110">
        <v>205133.85</v>
      </c>
      <c r="I291" s="110">
        <v>35430.19</v>
      </c>
      <c r="J291" s="110">
        <v>60190.17</v>
      </c>
      <c r="K291" s="110">
        <v>75958.3</v>
      </c>
      <c r="L291" s="110">
        <v>82285.8</v>
      </c>
    </row>
    <row r="292" spans="1:12" x14ac:dyDescent="0.2">
      <c r="A292" t="s">
        <v>9</v>
      </c>
      <c r="B292" t="s">
        <v>105</v>
      </c>
      <c r="C292" t="s">
        <v>192</v>
      </c>
      <c r="D292" s="110">
        <v>255486.99</v>
      </c>
      <c r="E292" s="110">
        <v>248105.09</v>
      </c>
      <c r="F292" s="110">
        <v>242081.59</v>
      </c>
      <c r="I292" s="110">
        <v>60352.12</v>
      </c>
      <c r="J292" s="110">
        <v>89928.17</v>
      </c>
      <c r="K292" s="110">
        <v>110404.96</v>
      </c>
    </row>
    <row r="293" spans="1:12" x14ac:dyDescent="0.2">
      <c r="A293" t="s">
        <v>9</v>
      </c>
      <c r="B293" t="s">
        <v>105</v>
      </c>
      <c r="C293" t="s">
        <v>193</v>
      </c>
      <c r="D293" s="110">
        <v>271723.5</v>
      </c>
      <c r="E293" s="110">
        <v>262743.40000000002</v>
      </c>
      <c r="I293" s="110">
        <v>55362.09</v>
      </c>
      <c r="J293" s="110">
        <v>79771.97</v>
      </c>
    </row>
    <row r="294" spans="1:12" x14ac:dyDescent="0.2">
      <c r="A294" t="s">
        <v>9</v>
      </c>
      <c r="B294" t="s">
        <v>105</v>
      </c>
      <c r="C294" t="s">
        <v>194</v>
      </c>
      <c r="D294" s="110">
        <v>273559</v>
      </c>
      <c r="I294" s="110">
        <v>41483.25</v>
      </c>
    </row>
    <row r="295" spans="1:12" x14ac:dyDescent="0.2">
      <c r="A295" t="s">
        <v>9</v>
      </c>
      <c r="B295" t="s">
        <v>111</v>
      </c>
      <c r="C295" t="s">
        <v>191</v>
      </c>
      <c r="D295" s="110">
        <v>3463</v>
      </c>
      <c r="E295" s="110">
        <v>3438</v>
      </c>
      <c r="F295" s="110">
        <v>2958</v>
      </c>
      <c r="G295" s="110">
        <v>2958</v>
      </c>
      <c r="I295" s="110">
        <v>45</v>
      </c>
      <c r="J295" s="110">
        <v>225</v>
      </c>
      <c r="K295" s="110">
        <v>425</v>
      </c>
      <c r="L295" s="110">
        <v>425</v>
      </c>
    </row>
    <row r="296" spans="1:12" x14ac:dyDescent="0.2">
      <c r="A296" t="s">
        <v>9</v>
      </c>
      <c r="B296" t="s">
        <v>111</v>
      </c>
      <c r="C296" t="s">
        <v>192</v>
      </c>
      <c r="D296" s="110">
        <v>6424</v>
      </c>
      <c r="E296" s="110">
        <v>5379</v>
      </c>
      <c r="F296" s="110">
        <v>4129</v>
      </c>
      <c r="I296" s="110">
        <v>84</v>
      </c>
      <c r="J296" s="110">
        <v>719</v>
      </c>
      <c r="K296" s="110">
        <v>1004</v>
      </c>
    </row>
    <row r="297" spans="1:12" x14ac:dyDescent="0.2">
      <c r="A297" t="s">
        <v>9</v>
      </c>
      <c r="B297" t="s">
        <v>111</v>
      </c>
      <c r="C297" t="s">
        <v>193</v>
      </c>
      <c r="D297" s="110">
        <v>4574</v>
      </c>
      <c r="E297" s="110">
        <v>3544</v>
      </c>
      <c r="I297" s="110">
        <v>179</v>
      </c>
      <c r="J297" s="110">
        <v>229</v>
      </c>
    </row>
    <row r="298" spans="1:12" x14ac:dyDescent="0.2">
      <c r="A298" t="s">
        <v>9</v>
      </c>
      <c r="B298" t="s">
        <v>111</v>
      </c>
      <c r="C298" t="s">
        <v>194</v>
      </c>
      <c r="D298" s="110">
        <v>7703</v>
      </c>
      <c r="I298" s="110">
        <v>414</v>
      </c>
    </row>
    <row r="299" spans="1:12" x14ac:dyDescent="0.2">
      <c r="A299" t="s">
        <v>9</v>
      </c>
      <c r="B299" t="s">
        <v>109</v>
      </c>
      <c r="C299" t="s">
        <v>191</v>
      </c>
      <c r="D299" s="110">
        <v>283838</v>
      </c>
      <c r="E299" s="110">
        <v>282371</v>
      </c>
      <c r="F299" s="110">
        <v>276613.59999999998</v>
      </c>
      <c r="G299" s="110">
        <v>275586</v>
      </c>
      <c r="I299" s="110">
        <v>75036.25</v>
      </c>
      <c r="J299" s="110">
        <v>121659.16</v>
      </c>
      <c r="K299" s="110">
        <v>144191.49</v>
      </c>
      <c r="L299" s="110">
        <v>160553.44</v>
      </c>
    </row>
    <row r="300" spans="1:12" x14ac:dyDescent="0.2">
      <c r="A300" t="s">
        <v>9</v>
      </c>
      <c r="B300" t="s">
        <v>109</v>
      </c>
      <c r="C300" t="s">
        <v>192</v>
      </c>
      <c r="D300" s="110">
        <v>259938.03</v>
      </c>
      <c r="E300" s="110">
        <v>256837.03</v>
      </c>
      <c r="F300" s="110">
        <v>255075.18</v>
      </c>
      <c r="I300" s="110">
        <v>61491.73</v>
      </c>
      <c r="J300" s="110">
        <v>97876.73</v>
      </c>
      <c r="K300" s="110">
        <v>125054.88</v>
      </c>
    </row>
    <row r="301" spans="1:12" x14ac:dyDescent="0.2">
      <c r="A301" t="s">
        <v>9</v>
      </c>
      <c r="B301" t="s">
        <v>109</v>
      </c>
      <c r="C301" t="s">
        <v>193</v>
      </c>
      <c r="D301" s="110">
        <v>280448.96000000002</v>
      </c>
      <c r="E301" s="110">
        <v>276427.46000000002</v>
      </c>
      <c r="I301" s="110">
        <v>78847.08</v>
      </c>
      <c r="J301" s="110">
        <v>115163.91</v>
      </c>
    </row>
    <row r="302" spans="1:12" x14ac:dyDescent="0.2">
      <c r="A302" t="s">
        <v>9</v>
      </c>
      <c r="B302" t="s">
        <v>109</v>
      </c>
      <c r="C302" t="s">
        <v>194</v>
      </c>
      <c r="D302" s="110">
        <v>297759.5</v>
      </c>
      <c r="I302" s="110">
        <v>86296.31</v>
      </c>
    </row>
    <row r="303" spans="1:12" x14ac:dyDescent="0.2">
      <c r="A303" t="s">
        <v>9</v>
      </c>
      <c r="B303" t="s">
        <v>106</v>
      </c>
      <c r="C303" t="s">
        <v>191</v>
      </c>
      <c r="D303" s="110">
        <v>133227.06</v>
      </c>
      <c r="E303" s="110">
        <v>133227.06</v>
      </c>
      <c r="F303" s="110">
        <v>133227.06</v>
      </c>
      <c r="G303" s="110">
        <v>133227.06</v>
      </c>
      <c r="I303" s="110">
        <v>133017.06</v>
      </c>
      <c r="J303" s="110">
        <v>133087.06</v>
      </c>
      <c r="K303" s="110">
        <v>133087.06</v>
      </c>
      <c r="L303" s="110">
        <v>133187.06</v>
      </c>
    </row>
    <row r="304" spans="1:12" x14ac:dyDescent="0.2">
      <c r="A304" t="s">
        <v>9</v>
      </c>
      <c r="B304" t="s">
        <v>106</v>
      </c>
      <c r="C304" t="s">
        <v>192</v>
      </c>
      <c r="D304" s="110">
        <v>205883.08</v>
      </c>
      <c r="E304" s="110">
        <v>205683.08</v>
      </c>
      <c r="F304" s="110">
        <v>205683.08</v>
      </c>
      <c r="I304" s="110">
        <v>205683.08</v>
      </c>
      <c r="J304" s="110">
        <v>205683.08</v>
      </c>
      <c r="K304" s="110">
        <v>205683.08</v>
      </c>
    </row>
    <row r="305" spans="1:12" x14ac:dyDescent="0.2">
      <c r="A305" t="s">
        <v>9</v>
      </c>
      <c r="B305" t="s">
        <v>106</v>
      </c>
      <c r="C305" t="s">
        <v>193</v>
      </c>
      <c r="D305" s="110">
        <v>234782.5</v>
      </c>
      <c r="E305" s="110">
        <v>234723.5</v>
      </c>
      <c r="I305" s="110">
        <v>233299.5</v>
      </c>
      <c r="J305" s="110">
        <v>233690.5</v>
      </c>
    </row>
    <row r="306" spans="1:12" x14ac:dyDescent="0.2">
      <c r="A306" t="s">
        <v>9</v>
      </c>
      <c r="B306" t="s">
        <v>106</v>
      </c>
      <c r="C306" t="s">
        <v>194</v>
      </c>
      <c r="D306" s="110">
        <v>246593.09</v>
      </c>
      <c r="I306" s="110">
        <v>244661.09</v>
      </c>
    </row>
    <row r="307" spans="1:12" x14ac:dyDescent="0.2">
      <c r="A307" t="s">
        <v>9</v>
      </c>
      <c r="B307" t="s">
        <v>107</v>
      </c>
      <c r="C307" t="s">
        <v>191</v>
      </c>
      <c r="D307" s="110">
        <v>186420.32</v>
      </c>
      <c r="E307" s="110">
        <v>186420.32</v>
      </c>
      <c r="F307" s="110">
        <v>186420.32</v>
      </c>
      <c r="G307" s="110">
        <v>186420.32</v>
      </c>
      <c r="I307" s="110">
        <v>179059.32</v>
      </c>
      <c r="J307" s="110">
        <v>186139.32</v>
      </c>
      <c r="K307" s="110">
        <v>186139.32</v>
      </c>
      <c r="L307" s="110">
        <v>186139.32</v>
      </c>
    </row>
    <row r="308" spans="1:12" x14ac:dyDescent="0.2">
      <c r="A308" t="s">
        <v>9</v>
      </c>
      <c r="B308" t="s">
        <v>107</v>
      </c>
      <c r="C308" t="s">
        <v>192</v>
      </c>
      <c r="D308" s="110">
        <v>181538.55</v>
      </c>
      <c r="E308" s="110">
        <v>181538.55</v>
      </c>
      <c r="F308" s="110">
        <v>181333.55</v>
      </c>
      <c r="I308" s="110">
        <v>180852.55</v>
      </c>
      <c r="J308" s="110">
        <v>181267.55</v>
      </c>
      <c r="K308" s="110">
        <v>180752.55</v>
      </c>
    </row>
    <row r="309" spans="1:12" x14ac:dyDescent="0.2">
      <c r="A309" t="s">
        <v>9</v>
      </c>
      <c r="B309" t="s">
        <v>107</v>
      </c>
      <c r="C309" t="s">
        <v>193</v>
      </c>
      <c r="D309" s="110">
        <v>234782.5</v>
      </c>
      <c r="E309" s="110">
        <v>204154.31</v>
      </c>
      <c r="I309" s="110">
        <v>202981.31</v>
      </c>
      <c r="J309" s="110">
        <v>202796.31</v>
      </c>
    </row>
    <row r="310" spans="1:12" x14ac:dyDescent="0.2">
      <c r="A310" t="s">
        <v>9</v>
      </c>
      <c r="B310" t="s">
        <v>107</v>
      </c>
      <c r="C310" t="s">
        <v>194</v>
      </c>
      <c r="D310" s="110">
        <v>211045.98</v>
      </c>
      <c r="I310" s="110">
        <v>210448.98</v>
      </c>
    </row>
    <row r="311" spans="1:12" x14ac:dyDescent="0.2">
      <c r="A311" t="s">
        <v>9</v>
      </c>
      <c r="B311" t="s">
        <v>108</v>
      </c>
      <c r="C311" t="s">
        <v>191</v>
      </c>
      <c r="D311" s="110">
        <v>94770.98</v>
      </c>
      <c r="E311" s="110">
        <v>94770.98</v>
      </c>
      <c r="F311" s="110">
        <v>94530.98</v>
      </c>
      <c r="G311" s="110">
        <v>94530.98</v>
      </c>
      <c r="I311" s="110">
        <v>94120.98</v>
      </c>
      <c r="J311" s="110">
        <v>94425.98</v>
      </c>
      <c r="K311" s="110">
        <v>94425.98</v>
      </c>
      <c r="L311" s="110">
        <v>94425.98</v>
      </c>
    </row>
    <row r="312" spans="1:12" x14ac:dyDescent="0.2">
      <c r="A312" t="s">
        <v>9</v>
      </c>
      <c r="B312" t="s">
        <v>108</v>
      </c>
      <c r="C312" t="s">
        <v>192</v>
      </c>
      <c r="D312" s="110">
        <v>104471</v>
      </c>
      <c r="E312" s="110">
        <v>104331</v>
      </c>
      <c r="F312" s="110">
        <v>103962.5</v>
      </c>
      <c r="I312" s="110">
        <v>99635.5</v>
      </c>
      <c r="J312" s="110">
        <v>103474.5</v>
      </c>
      <c r="K312" s="110">
        <v>103504.5</v>
      </c>
    </row>
    <row r="313" spans="1:12" x14ac:dyDescent="0.2">
      <c r="A313" t="s">
        <v>9</v>
      </c>
      <c r="B313" t="s">
        <v>108</v>
      </c>
      <c r="C313" t="s">
        <v>193</v>
      </c>
      <c r="D313" s="110">
        <v>115929.2</v>
      </c>
      <c r="E313" s="110">
        <v>115324.2</v>
      </c>
      <c r="I313" s="110">
        <v>114499.7</v>
      </c>
      <c r="J313" s="110">
        <v>114454.7</v>
      </c>
    </row>
    <row r="314" spans="1:12" x14ac:dyDescent="0.2">
      <c r="A314" t="s">
        <v>9</v>
      </c>
      <c r="B314" t="s">
        <v>108</v>
      </c>
      <c r="C314" t="s">
        <v>194</v>
      </c>
      <c r="D314" s="110">
        <v>109530.79</v>
      </c>
      <c r="I314" s="110">
        <v>104981.29</v>
      </c>
    </row>
    <row r="315" spans="1:12" x14ac:dyDescent="0.2">
      <c r="A315" t="s">
        <v>9</v>
      </c>
      <c r="B315" t="s">
        <v>70</v>
      </c>
      <c r="C315" t="s">
        <v>191</v>
      </c>
      <c r="D315" s="110">
        <v>82826.990000000005</v>
      </c>
      <c r="E315" s="110">
        <v>82826.990000000005</v>
      </c>
      <c r="F315" s="110">
        <v>82806.990000000005</v>
      </c>
      <c r="G315" s="110">
        <v>82806.990000000005</v>
      </c>
      <c r="I315" s="110">
        <v>80082.990000000005</v>
      </c>
      <c r="J315" s="110">
        <v>82000.990000000005</v>
      </c>
      <c r="K315" s="110">
        <v>82000.990000000005</v>
      </c>
      <c r="L315" s="110">
        <v>82000.990000000005</v>
      </c>
    </row>
    <row r="316" spans="1:12" x14ac:dyDescent="0.2">
      <c r="A316" t="s">
        <v>9</v>
      </c>
      <c r="B316" t="s">
        <v>70</v>
      </c>
      <c r="C316" t="s">
        <v>192</v>
      </c>
      <c r="D316" s="110">
        <v>89329.89</v>
      </c>
      <c r="E316" s="110">
        <v>88262.89</v>
      </c>
      <c r="F316" s="110">
        <v>88262.89</v>
      </c>
      <c r="I316" s="110">
        <v>86821.89</v>
      </c>
      <c r="J316" s="110">
        <v>86821.89</v>
      </c>
      <c r="K316" s="110">
        <v>86821.89</v>
      </c>
    </row>
    <row r="317" spans="1:12" x14ac:dyDescent="0.2">
      <c r="A317" t="s">
        <v>9</v>
      </c>
      <c r="B317" t="s">
        <v>70</v>
      </c>
      <c r="C317" t="s">
        <v>193</v>
      </c>
      <c r="D317" s="110">
        <v>91995.5</v>
      </c>
      <c r="E317" s="110">
        <v>90956.5</v>
      </c>
      <c r="I317" s="110">
        <v>88859.5</v>
      </c>
      <c r="J317" s="110">
        <v>89344.5</v>
      </c>
    </row>
    <row r="318" spans="1:12" x14ac:dyDescent="0.2">
      <c r="A318" t="s">
        <v>9</v>
      </c>
      <c r="B318" t="s">
        <v>70</v>
      </c>
      <c r="C318" t="s">
        <v>194</v>
      </c>
      <c r="D318" s="110">
        <v>97063.5</v>
      </c>
      <c r="I318" s="110">
        <v>95325.5</v>
      </c>
    </row>
    <row r="319" spans="1:12" x14ac:dyDescent="0.2">
      <c r="A319" t="s">
        <v>9</v>
      </c>
      <c r="B319" t="s">
        <v>110</v>
      </c>
      <c r="C319" t="s">
        <v>191</v>
      </c>
      <c r="D319" s="110">
        <v>527603.65</v>
      </c>
      <c r="E319" s="110">
        <v>457701.99</v>
      </c>
      <c r="F319" s="110">
        <v>451280</v>
      </c>
      <c r="G319" s="110">
        <v>448739</v>
      </c>
      <c r="I319" s="110">
        <v>245732.18</v>
      </c>
      <c r="J319" s="110">
        <v>368439.9</v>
      </c>
      <c r="K319" s="110">
        <v>387705.1</v>
      </c>
      <c r="L319" s="110">
        <v>394307.85</v>
      </c>
    </row>
    <row r="320" spans="1:12" x14ac:dyDescent="0.2">
      <c r="A320" t="s">
        <v>9</v>
      </c>
      <c r="B320" t="s">
        <v>110</v>
      </c>
      <c r="C320" t="s">
        <v>192</v>
      </c>
      <c r="D320" s="110">
        <v>612066.44999999995</v>
      </c>
      <c r="E320" s="110">
        <v>572447.09</v>
      </c>
      <c r="F320" s="110">
        <v>562793.09</v>
      </c>
      <c r="I320" s="110">
        <v>327988.11</v>
      </c>
      <c r="J320" s="110">
        <v>470974.15</v>
      </c>
      <c r="K320" s="110">
        <v>493319.61</v>
      </c>
    </row>
    <row r="321" spans="1:12" x14ac:dyDescent="0.2">
      <c r="A321" t="s">
        <v>9</v>
      </c>
      <c r="B321" t="s">
        <v>110</v>
      </c>
      <c r="C321" t="s">
        <v>193</v>
      </c>
      <c r="D321" s="110">
        <v>627444.65</v>
      </c>
      <c r="E321" s="110">
        <v>586643.81000000006</v>
      </c>
      <c r="I321" s="110">
        <v>330442.58</v>
      </c>
      <c r="J321" s="110">
        <v>470012.44</v>
      </c>
    </row>
    <row r="322" spans="1:12" x14ac:dyDescent="0.2">
      <c r="A322" t="s">
        <v>9</v>
      </c>
      <c r="B322" t="s">
        <v>110</v>
      </c>
      <c r="C322" t="s">
        <v>194</v>
      </c>
      <c r="D322" s="110">
        <v>480440</v>
      </c>
      <c r="I322" s="110">
        <v>233251.1</v>
      </c>
    </row>
    <row r="323" spans="1:12" x14ac:dyDescent="0.2">
      <c r="A323" t="s">
        <v>10</v>
      </c>
      <c r="B323" t="s">
        <v>104</v>
      </c>
      <c r="C323" t="s">
        <v>191</v>
      </c>
      <c r="D323" s="110">
        <v>578689.07999999996</v>
      </c>
      <c r="E323" s="110">
        <v>575576.07999999996</v>
      </c>
      <c r="F323" s="110">
        <v>572372.07999999996</v>
      </c>
      <c r="G323" s="110">
        <v>570658.07999999996</v>
      </c>
      <c r="I323" s="110">
        <v>24850.61</v>
      </c>
      <c r="J323" s="110">
        <v>37812.61</v>
      </c>
      <c r="K323" s="110">
        <v>45668.38</v>
      </c>
      <c r="L323" s="110">
        <v>52942.59</v>
      </c>
    </row>
    <row r="324" spans="1:12" x14ac:dyDescent="0.2">
      <c r="A324" t="s">
        <v>10</v>
      </c>
      <c r="B324" t="s">
        <v>104</v>
      </c>
      <c r="C324" t="s">
        <v>192</v>
      </c>
      <c r="D324" s="110">
        <v>618651.80000000005</v>
      </c>
      <c r="E324" s="110">
        <v>669450.80000000005</v>
      </c>
      <c r="F324" s="110">
        <v>666561.80000000005</v>
      </c>
      <c r="I324" s="110">
        <v>40484</v>
      </c>
      <c r="J324" s="110">
        <v>53246</v>
      </c>
      <c r="K324" s="110">
        <v>64530.11</v>
      </c>
    </row>
    <row r="325" spans="1:12" x14ac:dyDescent="0.2">
      <c r="A325" t="s">
        <v>10</v>
      </c>
      <c r="B325" t="s">
        <v>104</v>
      </c>
      <c r="C325" t="s">
        <v>193</v>
      </c>
      <c r="D325" s="110">
        <v>969843.26</v>
      </c>
      <c r="E325" s="110">
        <v>963931.26</v>
      </c>
      <c r="I325" s="110">
        <v>33378.959999999999</v>
      </c>
      <c r="J325" s="110">
        <v>44354.96</v>
      </c>
    </row>
    <row r="326" spans="1:12" x14ac:dyDescent="0.2">
      <c r="A326" t="s">
        <v>10</v>
      </c>
      <c r="B326" t="s">
        <v>104</v>
      </c>
      <c r="C326" t="s">
        <v>194</v>
      </c>
      <c r="D326" s="110">
        <v>993304</v>
      </c>
      <c r="I326" s="110">
        <v>36676.5</v>
      </c>
    </row>
    <row r="327" spans="1:12" x14ac:dyDescent="0.2">
      <c r="A327" t="s">
        <v>10</v>
      </c>
      <c r="B327" t="s">
        <v>140</v>
      </c>
      <c r="C327" t="s">
        <v>191</v>
      </c>
      <c r="D327" s="110">
        <v>107838</v>
      </c>
      <c r="E327" s="110">
        <v>107838</v>
      </c>
      <c r="F327" s="110">
        <v>107838</v>
      </c>
      <c r="G327" s="110">
        <v>214168</v>
      </c>
      <c r="I327" s="110">
        <v>33</v>
      </c>
      <c r="J327" s="110">
        <v>33</v>
      </c>
      <c r="K327" s="110">
        <v>40</v>
      </c>
      <c r="L327" s="110">
        <v>40</v>
      </c>
    </row>
    <row r="328" spans="1:12" x14ac:dyDescent="0.2">
      <c r="A328" t="s">
        <v>10</v>
      </c>
      <c r="B328" t="s">
        <v>140</v>
      </c>
      <c r="C328" t="s">
        <v>192</v>
      </c>
      <c r="D328" s="110">
        <v>160931</v>
      </c>
      <c r="E328" s="110">
        <v>214792</v>
      </c>
      <c r="F328" s="110">
        <v>321688</v>
      </c>
      <c r="I328" s="110">
        <v>39</v>
      </c>
      <c r="J328" s="110">
        <v>53</v>
      </c>
      <c r="K328" s="110">
        <v>53</v>
      </c>
    </row>
    <row r="329" spans="1:12" x14ac:dyDescent="0.2">
      <c r="A329" t="s">
        <v>10</v>
      </c>
      <c r="B329" t="s">
        <v>140</v>
      </c>
      <c r="C329" t="s">
        <v>193</v>
      </c>
      <c r="D329" s="110">
        <v>424547</v>
      </c>
      <c r="E329" s="110">
        <v>531165</v>
      </c>
      <c r="I329" s="110">
        <v>157</v>
      </c>
      <c r="J329" s="110">
        <v>257</v>
      </c>
    </row>
    <row r="330" spans="1:12" x14ac:dyDescent="0.2">
      <c r="A330" t="s">
        <v>10</v>
      </c>
      <c r="B330" t="s">
        <v>140</v>
      </c>
      <c r="C330" t="s">
        <v>194</v>
      </c>
      <c r="D330" s="110">
        <v>580610</v>
      </c>
      <c r="I330" s="110">
        <v>255</v>
      </c>
    </row>
    <row r="331" spans="1:12" x14ac:dyDescent="0.2">
      <c r="A331" t="s">
        <v>10</v>
      </c>
      <c r="B331" t="s">
        <v>105</v>
      </c>
      <c r="C331" t="s">
        <v>191</v>
      </c>
      <c r="D331" s="110">
        <v>183035.9</v>
      </c>
      <c r="E331" s="110">
        <v>180850.9</v>
      </c>
      <c r="F331" s="110">
        <v>179279.9</v>
      </c>
      <c r="G331" s="110">
        <v>179229.9</v>
      </c>
      <c r="I331" s="110">
        <v>34652.25</v>
      </c>
      <c r="J331" s="110">
        <v>53804.75</v>
      </c>
      <c r="K331" s="110">
        <v>62851.5</v>
      </c>
      <c r="L331" s="110">
        <v>69378.5</v>
      </c>
    </row>
    <row r="332" spans="1:12" x14ac:dyDescent="0.2">
      <c r="A332" t="s">
        <v>10</v>
      </c>
      <c r="B332" t="s">
        <v>105</v>
      </c>
      <c r="C332" t="s">
        <v>192</v>
      </c>
      <c r="D332" s="110">
        <v>177248.95</v>
      </c>
      <c r="E332" s="110">
        <v>175653.95</v>
      </c>
      <c r="F332" s="110">
        <v>174963.95</v>
      </c>
      <c r="I332" s="110">
        <v>47652.4</v>
      </c>
      <c r="J332" s="110">
        <v>63949.15</v>
      </c>
      <c r="K332" s="110">
        <v>71779.55</v>
      </c>
    </row>
    <row r="333" spans="1:12" x14ac:dyDescent="0.2">
      <c r="A333" t="s">
        <v>10</v>
      </c>
      <c r="B333" t="s">
        <v>105</v>
      </c>
      <c r="C333" t="s">
        <v>193</v>
      </c>
      <c r="D333" s="110">
        <v>195125</v>
      </c>
      <c r="E333" s="110">
        <v>188439</v>
      </c>
      <c r="I333" s="110">
        <v>55218</v>
      </c>
      <c r="J333" s="110">
        <v>74405</v>
      </c>
    </row>
    <row r="334" spans="1:12" x14ac:dyDescent="0.2">
      <c r="A334" t="s">
        <v>10</v>
      </c>
      <c r="B334" t="s">
        <v>105</v>
      </c>
      <c r="C334" t="s">
        <v>194</v>
      </c>
      <c r="D334" s="110">
        <v>203694</v>
      </c>
      <c r="I334" s="110">
        <v>74228.5</v>
      </c>
    </row>
    <row r="335" spans="1:12" x14ac:dyDescent="0.2">
      <c r="A335" t="s">
        <v>10</v>
      </c>
      <c r="B335" t="s">
        <v>111</v>
      </c>
      <c r="C335" t="s">
        <v>191</v>
      </c>
      <c r="D335" s="110">
        <v>6988</v>
      </c>
      <c r="E335" s="110">
        <v>6638</v>
      </c>
      <c r="F335" s="110">
        <v>6538</v>
      </c>
      <c r="G335" s="110">
        <v>6538</v>
      </c>
      <c r="I335" s="110">
        <v>879</v>
      </c>
      <c r="J335" s="110">
        <v>879</v>
      </c>
      <c r="K335" s="110">
        <v>879</v>
      </c>
      <c r="L335" s="110">
        <v>979</v>
      </c>
    </row>
    <row r="336" spans="1:12" x14ac:dyDescent="0.2">
      <c r="A336" t="s">
        <v>10</v>
      </c>
      <c r="B336" t="s">
        <v>111</v>
      </c>
      <c r="C336" t="s">
        <v>192</v>
      </c>
      <c r="D336" s="110">
        <v>5873</v>
      </c>
      <c r="E336" s="110">
        <v>5776</v>
      </c>
      <c r="F336" s="110">
        <v>5776</v>
      </c>
      <c r="I336" s="110">
        <v>123</v>
      </c>
      <c r="J336" s="110">
        <v>276</v>
      </c>
      <c r="K336" s="110">
        <v>549</v>
      </c>
    </row>
    <row r="337" spans="1:12" x14ac:dyDescent="0.2">
      <c r="A337" t="s">
        <v>10</v>
      </c>
      <c r="B337" t="s">
        <v>111</v>
      </c>
      <c r="C337" t="s">
        <v>193</v>
      </c>
      <c r="D337" s="110">
        <v>11507</v>
      </c>
      <c r="E337" s="110">
        <v>11454</v>
      </c>
      <c r="I337" s="110">
        <v>306</v>
      </c>
      <c r="J337" s="110">
        <v>473</v>
      </c>
    </row>
    <row r="338" spans="1:12" x14ac:dyDescent="0.2">
      <c r="A338" t="s">
        <v>10</v>
      </c>
      <c r="B338" t="s">
        <v>111</v>
      </c>
      <c r="C338" t="s">
        <v>194</v>
      </c>
      <c r="D338" s="110">
        <v>8380.5</v>
      </c>
      <c r="I338" s="110">
        <v>452.5</v>
      </c>
    </row>
    <row r="339" spans="1:12" x14ac:dyDescent="0.2">
      <c r="A339" t="s">
        <v>10</v>
      </c>
      <c r="B339" t="s">
        <v>109</v>
      </c>
      <c r="C339" t="s">
        <v>191</v>
      </c>
      <c r="D339" s="110">
        <v>153837.57999999999</v>
      </c>
      <c r="E339" s="110">
        <v>152929.57999999999</v>
      </c>
      <c r="F339" s="110">
        <v>152938.48000000001</v>
      </c>
      <c r="G339" s="110">
        <v>152733.48000000001</v>
      </c>
      <c r="I339" s="110">
        <v>33726.78</v>
      </c>
      <c r="J339" s="110">
        <v>54269</v>
      </c>
      <c r="K339" s="110">
        <v>65581</v>
      </c>
      <c r="L339" s="110">
        <v>73238.75</v>
      </c>
    </row>
    <row r="340" spans="1:12" x14ac:dyDescent="0.2">
      <c r="A340" t="s">
        <v>10</v>
      </c>
      <c r="B340" t="s">
        <v>109</v>
      </c>
      <c r="C340" t="s">
        <v>192</v>
      </c>
      <c r="D340" s="110">
        <v>134643.85</v>
      </c>
      <c r="E340" s="110">
        <v>134383.85</v>
      </c>
      <c r="F340" s="110">
        <v>134328.85</v>
      </c>
      <c r="I340" s="110">
        <v>31100.1</v>
      </c>
      <c r="J340" s="110">
        <v>45921.85</v>
      </c>
      <c r="K340" s="110">
        <v>56654.6</v>
      </c>
    </row>
    <row r="341" spans="1:12" x14ac:dyDescent="0.2">
      <c r="A341" t="s">
        <v>10</v>
      </c>
      <c r="B341" t="s">
        <v>109</v>
      </c>
      <c r="C341" t="s">
        <v>193</v>
      </c>
      <c r="D341" s="110">
        <v>165280.07</v>
      </c>
      <c r="E341" s="110">
        <v>166288.07</v>
      </c>
      <c r="I341" s="110">
        <v>46020.32</v>
      </c>
      <c r="J341" s="110">
        <v>66357.570000000007</v>
      </c>
    </row>
    <row r="342" spans="1:12" x14ac:dyDescent="0.2">
      <c r="A342" t="s">
        <v>10</v>
      </c>
      <c r="B342" t="s">
        <v>109</v>
      </c>
      <c r="C342" t="s">
        <v>194</v>
      </c>
      <c r="D342" s="110">
        <v>156878.70000000001</v>
      </c>
      <c r="I342" s="110">
        <v>38746.449999999997</v>
      </c>
    </row>
    <row r="343" spans="1:12" x14ac:dyDescent="0.2">
      <c r="A343" t="s">
        <v>10</v>
      </c>
      <c r="B343" t="s">
        <v>106</v>
      </c>
      <c r="C343" t="s">
        <v>191</v>
      </c>
      <c r="D343" s="110">
        <v>132274.38</v>
      </c>
      <c r="E343" s="110">
        <v>131474.38</v>
      </c>
      <c r="F343" s="110">
        <v>131424.38</v>
      </c>
      <c r="G343" s="110">
        <v>131424.38</v>
      </c>
      <c r="I343" s="110">
        <v>127479.38</v>
      </c>
      <c r="J343" s="110">
        <v>130528.38</v>
      </c>
      <c r="K343" s="110">
        <v>130593.38</v>
      </c>
      <c r="L343" s="110">
        <v>130593.38</v>
      </c>
    </row>
    <row r="344" spans="1:12" x14ac:dyDescent="0.2">
      <c r="A344" t="s">
        <v>10</v>
      </c>
      <c r="B344" t="s">
        <v>106</v>
      </c>
      <c r="C344" t="s">
        <v>192</v>
      </c>
      <c r="D344" s="110">
        <v>193037.83</v>
      </c>
      <c r="E344" s="110">
        <v>191976.83</v>
      </c>
      <c r="F344" s="110">
        <v>191976.83</v>
      </c>
      <c r="I344" s="110">
        <v>181324.83</v>
      </c>
      <c r="J344" s="110">
        <v>189764.83</v>
      </c>
      <c r="K344" s="110">
        <v>191224.83</v>
      </c>
    </row>
    <row r="345" spans="1:12" x14ac:dyDescent="0.2">
      <c r="A345" t="s">
        <v>10</v>
      </c>
      <c r="B345" t="s">
        <v>106</v>
      </c>
      <c r="C345" t="s">
        <v>193</v>
      </c>
      <c r="D345" s="110">
        <v>230576.8</v>
      </c>
      <c r="E345" s="110">
        <v>230971.8</v>
      </c>
      <c r="I345" s="110">
        <v>227887.3</v>
      </c>
      <c r="J345" s="110">
        <v>230149.3</v>
      </c>
    </row>
    <row r="346" spans="1:12" x14ac:dyDescent="0.2">
      <c r="A346" t="s">
        <v>10</v>
      </c>
      <c r="B346" t="s">
        <v>106</v>
      </c>
      <c r="C346" t="s">
        <v>194</v>
      </c>
      <c r="D346" s="110">
        <v>202039.09</v>
      </c>
      <c r="I346" s="110">
        <v>199803.09</v>
      </c>
    </row>
    <row r="347" spans="1:12" x14ac:dyDescent="0.2">
      <c r="A347" t="s">
        <v>10</v>
      </c>
      <c r="B347" t="s">
        <v>107</v>
      </c>
      <c r="C347" t="s">
        <v>191</v>
      </c>
      <c r="D347" s="110">
        <v>146540.18</v>
      </c>
      <c r="E347" s="110">
        <v>146202.18</v>
      </c>
      <c r="F347" s="110">
        <v>146202.18</v>
      </c>
      <c r="G347" s="110">
        <v>146202.18</v>
      </c>
      <c r="I347" s="110">
        <v>146082.18</v>
      </c>
      <c r="J347" s="110">
        <v>146152.18</v>
      </c>
      <c r="K347" s="110">
        <v>146152.18</v>
      </c>
      <c r="L347" s="110">
        <v>146152.18</v>
      </c>
    </row>
    <row r="348" spans="1:12" x14ac:dyDescent="0.2">
      <c r="A348" t="s">
        <v>10</v>
      </c>
      <c r="B348" t="s">
        <v>107</v>
      </c>
      <c r="C348" t="s">
        <v>192</v>
      </c>
      <c r="D348" s="110">
        <v>135276.4</v>
      </c>
      <c r="E348" s="110">
        <v>135181.4</v>
      </c>
      <c r="F348" s="110">
        <v>135181.4</v>
      </c>
      <c r="I348" s="110">
        <v>129746.4</v>
      </c>
      <c r="J348" s="110">
        <v>134768.9</v>
      </c>
      <c r="K348" s="110">
        <v>134916.4</v>
      </c>
    </row>
    <row r="349" spans="1:12" x14ac:dyDescent="0.2">
      <c r="A349" t="s">
        <v>10</v>
      </c>
      <c r="B349" t="s">
        <v>107</v>
      </c>
      <c r="C349" t="s">
        <v>193</v>
      </c>
      <c r="D349" s="110">
        <v>164466.73000000001</v>
      </c>
      <c r="E349" s="110">
        <v>164466.73000000001</v>
      </c>
      <c r="I349" s="110">
        <v>163759.73000000001</v>
      </c>
      <c r="J349" s="110">
        <v>164001.73000000001</v>
      </c>
    </row>
    <row r="350" spans="1:12" x14ac:dyDescent="0.2">
      <c r="A350" t="s">
        <v>10</v>
      </c>
      <c r="B350" t="s">
        <v>107</v>
      </c>
      <c r="C350" t="s">
        <v>194</v>
      </c>
      <c r="D350" s="110">
        <v>184874.21</v>
      </c>
      <c r="I350" s="110">
        <v>184390.1</v>
      </c>
    </row>
    <row r="351" spans="1:12" x14ac:dyDescent="0.2">
      <c r="A351" t="s">
        <v>10</v>
      </c>
      <c r="B351" t="s">
        <v>108</v>
      </c>
      <c r="C351" t="s">
        <v>191</v>
      </c>
      <c r="D351" s="110">
        <v>81236.63</v>
      </c>
      <c r="E351" s="110">
        <v>80600.63</v>
      </c>
      <c r="F351" s="110">
        <v>80600.63</v>
      </c>
      <c r="G351" s="110">
        <v>80600.63</v>
      </c>
      <c r="I351" s="110">
        <v>80115.63</v>
      </c>
      <c r="J351" s="110">
        <v>80600.63</v>
      </c>
      <c r="K351" s="110">
        <v>80600.63</v>
      </c>
      <c r="L351" s="110">
        <v>80600.63</v>
      </c>
    </row>
    <row r="352" spans="1:12" x14ac:dyDescent="0.2">
      <c r="A352" t="s">
        <v>10</v>
      </c>
      <c r="B352" t="s">
        <v>108</v>
      </c>
      <c r="C352" t="s">
        <v>192</v>
      </c>
      <c r="D352" s="110">
        <v>87865.73</v>
      </c>
      <c r="E352" s="110">
        <v>87865.73</v>
      </c>
      <c r="F352" s="110">
        <v>87865.73</v>
      </c>
      <c r="I352" s="110">
        <v>84407.75</v>
      </c>
      <c r="J352" s="110">
        <v>87632.75</v>
      </c>
      <c r="K352" s="110">
        <v>87717.75</v>
      </c>
    </row>
    <row r="353" spans="1:12" x14ac:dyDescent="0.2">
      <c r="A353" t="s">
        <v>10</v>
      </c>
      <c r="B353" t="s">
        <v>108</v>
      </c>
      <c r="C353" t="s">
        <v>193</v>
      </c>
      <c r="D353" s="110">
        <v>92601.85</v>
      </c>
      <c r="E353" s="110">
        <v>92601.85</v>
      </c>
      <c r="I353" s="110">
        <v>89875.05</v>
      </c>
      <c r="J353" s="110">
        <v>92566.05</v>
      </c>
    </row>
    <row r="354" spans="1:12" x14ac:dyDescent="0.2">
      <c r="A354" t="s">
        <v>10</v>
      </c>
      <c r="B354" t="s">
        <v>108</v>
      </c>
      <c r="C354" t="s">
        <v>194</v>
      </c>
      <c r="D354" s="110">
        <v>83725.37</v>
      </c>
      <c r="I354" s="110">
        <v>82511</v>
      </c>
    </row>
    <row r="355" spans="1:12" x14ac:dyDescent="0.2">
      <c r="A355" t="s">
        <v>10</v>
      </c>
      <c r="B355" t="s">
        <v>70</v>
      </c>
      <c r="C355" t="s">
        <v>191</v>
      </c>
      <c r="D355" s="110">
        <v>82525.75</v>
      </c>
      <c r="E355" s="110">
        <v>80462.75</v>
      </c>
      <c r="F355" s="110">
        <v>80462.75</v>
      </c>
      <c r="G355" s="110">
        <v>80462.75</v>
      </c>
      <c r="I355" s="110">
        <v>72375.75</v>
      </c>
      <c r="J355" s="110">
        <v>75408.25</v>
      </c>
      <c r="K355" s="110">
        <v>75625.75</v>
      </c>
      <c r="L355" s="110">
        <v>75795.75</v>
      </c>
    </row>
    <row r="356" spans="1:12" x14ac:dyDescent="0.2">
      <c r="A356" t="s">
        <v>10</v>
      </c>
      <c r="B356" t="s">
        <v>70</v>
      </c>
      <c r="C356" t="s">
        <v>192</v>
      </c>
      <c r="D356" s="110">
        <v>75220.5</v>
      </c>
      <c r="E356" s="110">
        <v>73040.5</v>
      </c>
      <c r="F356" s="110">
        <v>72745.5</v>
      </c>
      <c r="I356" s="110">
        <v>63593.5</v>
      </c>
      <c r="J356" s="110">
        <v>67920.5</v>
      </c>
      <c r="K356" s="110">
        <v>68040.5</v>
      </c>
    </row>
    <row r="357" spans="1:12" x14ac:dyDescent="0.2">
      <c r="A357" t="s">
        <v>10</v>
      </c>
      <c r="B357" t="s">
        <v>70</v>
      </c>
      <c r="C357" t="s">
        <v>193</v>
      </c>
      <c r="D357" s="110">
        <v>83691.34</v>
      </c>
      <c r="E357" s="110">
        <v>83691.34</v>
      </c>
      <c r="I357" s="110">
        <v>71462.720000000001</v>
      </c>
      <c r="J357" s="110">
        <v>74393.22</v>
      </c>
    </row>
    <row r="358" spans="1:12" x14ac:dyDescent="0.2">
      <c r="A358" t="s">
        <v>10</v>
      </c>
      <c r="B358" t="s">
        <v>70</v>
      </c>
      <c r="C358" t="s">
        <v>194</v>
      </c>
      <c r="D358" s="110">
        <v>70909.66</v>
      </c>
      <c r="I358" s="110">
        <v>59003.66</v>
      </c>
    </row>
    <row r="359" spans="1:12" x14ac:dyDescent="0.2">
      <c r="A359" t="s">
        <v>10</v>
      </c>
      <c r="B359" t="s">
        <v>110</v>
      </c>
      <c r="C359" t="s">
        <v>191</v>
      </c>
      <c r="D359" s="110">
        <v>308299.5</v>
      </c>
      <c r="E359" s="110">
        <v>282029.90000000002</v>
      </c>
      <c r="F359" s="110">
        <v>280154.90000000002</v>
      </c>
      <c r="G359" s="110">
        <v>279799.90000000002</v>
      </c>
      <c r="I359" s="110">
        <v>159732.15</v>
      </c>
      <c r="J359" s="110">
        <v>244767.54</v>
      </c>
      <c r="K359" s="110">
        <v>254122.4</v>
      </c>
      <c r="L359" s="110">
        <v>256904.4</v>
      </c>
    </row>
    <row r="360" spans="1:12" x14ac:dyDescent="0.2">
      <c r="A360" t="s">
        <v>10</v>
      </c>
      <c r="B360" t="s">
        <v>110</v>
      </c>
      <c r="C360" t="s">
        <v>192</v>
      </c>
      <c r="D360" s="110">
        <v>370573.2</v>
      </c>
      <c r="E360" s="110">
        <v>349531.1</v>
      </c>
      <c r="F360" s="110">
        <v>347307.6</v>
      </c>
      <c r="I360" s="110">
        <v>208807.15</v>
      </c>
      <c r="J360" s="110">
        <v>303578.75</v>
      </c>
      <c r="K360" s="110">
        <v>314058.09999999998</v>
      </c>
    </row>
    <row r="361" spans="1:12" x14ac:dyDescent="0.2">
      <c r="A361" t="s">
        <v>10</v>
      </c>
      <c r="B361" t="s">
        <v>110</v>
      </c>
      <c r="C361" t="s">
        <v>193</v>
      </c>
      <c r="D361" s="110">
        <v>457181.75</v>
      </c>
      <c r="E361" s="110">
        <v>424447.15</v>
      </c>
      <c r="I361" s="110">
        <v>262498.65000000002</v>
      </c>
      <c r="J361" s="110">
        <v>374317.65</v>
      </c>
    </row>
    <row r="362" spans="1:12" x14ac:dyDescent="0.2">
      <c r="A362" t="s">
        <v>10</v>
      </c>
      <c r="B362" t="s">
        <v>110</v>
      </c>
      <c r="C362" t="s">
        <v>194</v>
      </c>
      <c r="D362" s="110">
        <v>394932.2</v>
      </c>
      <c r="I362" s="110">
        <v>234896.5</v>
      </c>
    </row>
    <row r="363" spans="1:12" x14ac:dyDescent="0.2">
      <c r="A363" t="s">
        <v>11</v>
      </c>
      <c r="B363" t="s">
        <v>104</v>
      </c>
      <c r="C363" t="s">
        <v>191</v>
      </c>
      <c r="D363" s="110">
        <v>169427</v>
      </c>
      <c r="E363" s="110">
        <v>169427</v>
      </c>
      <c r="F363" s="110">
        <v>169427</v>
      </c>
      <c r="G363" s="110">
        <v>169448</v>
      </c>
      <c r="I363" s="110">
        <v>4454</v>
      </c>
      <c r="J363" s="110">
        <v>12824</v>
      </c>
      <c r="K363" s="110">
        <v>18731</v>
      </c>
      <c r="L363" s="110">
        <v>24334</v>
      </c>
    </row>
    <row r="364" spans="1:12" x14ac:dyDescent="0.2">
      <c r="A364" t="s">
        <v>11</v>
      </c>
      <c r="B364" t="s">
        <v>104</v>
      </c>
      <c r="C364" t="s">
        <v>192</v>
      </c>
      <c r="D364" s="110">
        <v>195114</v>
      </c>
      <c r="E364" s="110">
        <v>195114</v>
      </c>
      <c r="F364" s="110">
        <v>195100</v>
      </c>
      <c r="I364" s="110">
        <v>17772</v>
      </c>
      <c r="J364" s="110">
        <v>25967</v>
      </c>
      <c r="K364" s="110">
        <v>31884</v>
      </c>
    </row>
    <row r="365" spans="1:12" x14ac:dyDescent="0.2">
      <c r="A365" t="s">
        <v>11</v>
      </c>
      <c r="B365" t="s">
        <v>104</v>
      </c>
      <c r="C365" t="s">
        <v>193</v>
      </c>
      <c r="D365" s="110">
        <v>185327</v>
      </c>
      <c r="E365" s="110">
        <v>185299</v>
      </c>
      <c r="I365" s="110">
        <v>11817</v>
      </c>
      <c r="J365" s="110">
        <v>21246</v>
      </c>
    </row>
    <row r="366" spans="1:12" x14ac:dyDescent="0.2">
      <c r="A366" t="s">
        <v>11</v>
      </c>
      <c r="B366" t="s">
        <v>104</v>
      </c>
      <c r="C366" t="s">
        <v>194</v>
      </c>
      <c r="D366" s="110">
        <v>203417</v>
      </c>
      <c r="I366" s="110">
        <v>8406</v>
      </c>
    </row>
    <row r="367" spans="1:12" x14ac:dyDescent="0.2">
      <c r="A367" t="s">
        <v>11</v>
      </c>
      <c r="B367" t="s">
        <v>140</v>
      </c>
      <c r="C367" t="s">
        <v>191</v>
      </c>
      <c r="D367" s="110">
        <v>211919</v>
      </c>
      <c r="E367" s="110">
        <v>211919</v>
      </c>
      <c r="F367" s="110">
        <v>211919</v>
      </c>
      <c r="G367" s="110">
        <v>211919</v>
      </c>
    </row>
    <row r="368" spans="1:12" x14ac:dyDescent="0.2">
      <c r="A368" t="s">
        <v>11</v>
      </c>
      <c r="B368" t="s">
        <v>140</v>
      </c>
      <c r="C368" t="s">
        <v>192</v>
      </c>
      <c r="D368" s="110">
        <v>317456</v>
      </c>
      <c r="E368" s="110">
        <v>317456</v>
      </c>
      <c r="F368" s="110">
        <v>317456</v>
      </c>
    </row>
    <row r="369" spans="1:12" x14ac:dyDescent="0.2">
      <c r="A369" t="s">
        <v>11</v>
      </c>
      <c r="B369" t="s">
        <v>140</v>
      </c>
      <c r="C369" t="s">
        <v>193</v>
      </c>
      <c r="D369" s="110">
        <v>79415</v>
      </c>
      <c r="E369" s="110">
        <v>79415</v>
      </c>
      <c r="J369" s="110">
        <v>2</v>
      </c>
    </row>
    <row r="370" spans="1:12" x14ac:dyDescent="0.2">
      <c r="A370" t="s">
        <v>11</v>
      </c>
      <c r="B370" t="s">
        <v>140</v>
      </c>
      <c r="C370" t="s">
        <v>194</v>
      </c>
      <c r="D370" s="110">
        <v>159425</v>
      </c>
      <c r="I370" s="110">
        <v>2</v>
      </c>
    </row>
    <row r="371" spans="1:12" x14ac:dyDescent="0.2">
      <c r="A371" t="s">
        <v>11</v>
      </c>
      <c r="B371" t="s">
        <v>105</v>
      </c>
      <c r="C371" t="s">
        <v>191</v>
      </c>
      <c r="D371" s="110">
        <v>144200</v>
      </c>
      <c r="E371" s="110">
        <v>143774</v>
      </c>
      <c r="F371" s="110">
        <v>143732</v>
      </c>
      <c r="G371" s="110">
        <v>143737</v>
      </c>
      <c r="I371" s="110">
        <v>22941</v>
      </c>
      <c r="J371" s="110">
        <v>41269</v>
      </c>
      <c r="K371" s="110">
        <v>50876</v>
      </c>
      <c r="L371" s="110">
        <v>57749</v>
      </c>
    </row>
    <row r="372" spans="1:12" x14ac:dyDescent="0.2">
      <c r="A372" t="s">
        <v>11</v>
      </c>
      <c r="B372" t="s">
        <v>105</v>
      </c>
      <c r="C372" t="s">
        <v>192</v>
      </c>
      <c r="D372" s="110">
        <v>154590</v>
      </c>
      <c r="E372" s="110">
        <v>154540</v>
      </c>
      <c r="F372" s="110">
        <v>154590</v>
      </c>
      <c r="I372" s="110">
        <v>21853</v>
      </c>
      <c r="J372" s="110">
        <v>41435</v>
      </c>
      <c r="K372" s="110">
        <v>51903</v>
      </c>
    </row>
    <row r="373" spans="1:12" x14ac:dyDescent="0.2">
      <c r="A373" t="s">
        <v>11</v>
      </c>
      <c r="B373" t="s">
        <v>105</v>
      </c>
      <c r="C373" t="s">
        <v>193</v>
      </c>
      <c r="D373" s="110">
        <v>177547</v>
      </c>
      <c r="E373" s="110">
        <v>177533</v>
      </c>
      <c r="I373" s="110">
        <v>21974</v>
      </c>
      <c r="J373" s="110">
        <v>44702</v>
      </c>
    </row>
    <row r="374" spans="1:12" x14ac:dyDescent="0.2">
      <c r="A374" t="s">
        <v>11</v>
      </c>
      <c r="B374" t="s">
        <v>105</v>
      </c>
      <c r="C374" t="s">
        <v>194</v>
      </c>
      <c r="D374" s="110">
        <v>216674</v>
      </c>
      <c r="I374" s="110">
        <v>30261</v>
      </c>
    </row>
    <row r="375" spans="1:12" x14ac:dyDescent="0.2">
      <c r="A375" t="s">
        <v>11</v>
      </c>
      <c r="B375" t="s">
        <v>111</v>
      </c>
      <c r="C375" t="s">
        <v>191</v>
      </c>
      <c r="D375" s="110">
        <v>17230</v>
      </c>
      <c r="E375" s="110">
        <v>15722</v>
      </c>
      <c r="F375" s="110">
        <v>15719</v>
      </c>
      <c r="G375" s="110">
        <v>14579</v>
      </c>
      <c r="I375" s="110">
        <v>855</v>
      </c>
      <c r="J375" s="110">
        <v>1900</v>
      </c>
      <c r="K375" s="110">
        <v>5729</v>
      </c>
      <c r="L375" s="110">
        <v>6245</v>
      </c>
    </row>
    <row r="376" spans="1:12" x14ac:dyDescent="0.2">
      <c r="A376" t="s">
        <v>11</v>
      </c>
      <c r="B376" t="s">
        <v>111</v>
      </c>
      <c r="C376" t="s">
        <v>192</v>
      </c>
      <c r="D376" s="110">
        <v>24019</v>
      </c>
      <c r="E376" s="110">
        <v>23751</v>
      </c>
      <c r="F376" s="110">
        <v>23747</v>
      </c>
      <c r="I376" s="110">
        <v>377</v>
      </c>
      <c r="J376" s="110">
        <v>1861</v>
      </c>
      <c r="K376" s="110">
        <v>3193</v>
      </c>
    </row>
    <row r="377" spans="1:12" x14ac:dyDescent="0.2">
      <c r="A377" t="s">
        <v>11</v>
      </c>
      <c r="B377" t="s">
        <v>111</v>
      </c>
      <c r="C377" t="s">
        <v>193</v>
      </c>
      <c r="D377" s="110">
        <v>24140</v>
      </c>
      <c r="E377" s="110">
        <v>23857</v>
      </c>
      <c r="I377" s="110">
        <v>2033</v>
      </c>
      <c r="J377" s="110">
        <v>2944</v>
      </c>
    </row>
    <row r="378" spans="1:12" x14ac:dyDescent="0.2">
      <c r="A378" t="s">
        <v>11</v>
      </c>
      <c r="B378" t="s">
        <v>111</v>
      </c>
      <c r="C378" t="s">
        <v>194</v>
      </c>
      <c r="D378" s="110">
        <v>8076</v>
      </c>
      <c r="I378" s="110">
        <v>219</v>
      </c>
    </row>
    <row r="379" spans="1:12" x14ac:dyDescent="0.2">
      <c r="A379" t="s">
        <v>11</v>
      </c>
      <c r="B379" t="s">
        <v>109</v>
      </c>
      <c r="C379" t="s">
        <v>191</v>
      </c>
      <c r="D379" s="110">
        <v>158749</v>
      </c>
      <c r="E379" s="110">
        <v>158557</v>
      </c>
      <c r="F379" s="110">
        <v>158818</v>
      </c>
      <c r="G379" s="110">
        <v>158793</v>
      </c>
      <c r="I379" s="110">
        <v>30776</v>
      </c>
      <c r="J379" s="110">
        <v>59852</v>
      </c>
      <c r="K379" s="110">
        <v>71511</v>
      </c>
      <c r="L379" s="110">
        <v>79992</v>
      </c>
    </row>
    <row r="380" spans="1:12" x14ac:dyDescent="0.2">
      <c r="A380" t="s">
        <v>11</v>
      </c>
      <c r="B380" t="s">
        <v>109</v>
      </c>
      <c r="C380" t="s">
        <v>192</v>
      </c>
      <c r="D380" s="110">
        <v>190548</v>
      </c>
      <c r="E380" s="110">
        <v>190384</v>
      </c>
      <c r="F380" s="110">
        <v>190302</v>
      </c>
      <c r="I380" s="110">
        <v>37059</v>
      </c>
      <c r="J380" s="110">
        <v>64056</v>
      </c>
      <c r="K380" s="110">
        <v>87189</v>
      </c>
    </row>
    <row r="381" spans="1:12" x14ac:dyDescent="0.2">
      <c r="A381" t="s">
        <v>11</v>
      </c>
      <c r="B381" t="s">
        <v>109</v>
      </c>
      <c r="C381" t="s">
        <v>193</v>
      </c>
      <c r="D381" s="110">
        <v>223569</v>
      </c>
      <c r="E381" s="110">
        <v>223460</v>
      </c>
      <c r="I381" s="110">
        <v>39707</v>
      </c>
      <c r="J381" s="110">
        <v>70915</v>
      </c>
    </row>
    <row r="382" spans="1:12" x14ac:dyDescent="0.2">
      <c r="A382" t="s">
        <v>11</v>
      </c>
      <c r="B382" t="s">
        <v>109</v>
      </c>
      <c r="C382" t="s">
        <v>194</v>
      </c>
      <c r="D382" s="110">
        <v>212642</v>
      </c>
      <c r="I382" s="110">
        <v>43197</v>
      </c>
    </row>
    <row r="383" spans="1:12" x14ac:dyDescent="0.2">
      <c r="A383" t="s">
        <v>11</v>
      </c>
      <c r="B383" t="s">
        <v>106</v>
      </c>
      <c r="C383" t="s">
        <v>191</v>
      </c>
      <c r="D383" s="110">
        <v>199740</v>
      </c>
      <c r="E383" s="110">
        <v>199740</v>
      </c>
      <c r="F383" s="110">
        <v>199740</v>
      </c>
      <c r="G383" s="110">
        <v>199310</v>
      </c>
      <c r="I383" s="110">
        <v>197103</v>
      </c>
      <c r="J383" s="110">
        <v>199740</v>
      </c>
      <c r="K383" s="110">
        <v>199740</v>
      </c>
      <c r="L383" s="110">
        <v>199310</v>
      </c>
    </row>
    <row r="384" spans="1:12" x14ac:dyDescent="0.2">
      <c r="A384" t="s">
        <v>11</v>
      </c>
      <c r="B384" t="s">
        <v>106</v>
      </c>
      <c r="C384" t="s">
        <v>192</v>
      </c>
      <c r="D384" s="110">
        <v>298443</v>
      </c>
      <c r="E384" s="110">
        <v>298413</v>
      </c>
      <c r="F384" s="110">
        <v>298403</v>
      </c>
      <c r="I384" s="110">
        <v>295035</v>
      </c>
      <c r="J384" s="110">
        <v>298403</v>
      </c>
      <c r="K384" s="110">
        <v>298403</v>
      </c>
    </row>
    <row r="385" spans="1:12" x14ac:dyDescent="0.2">
      <c r="A385" t="s">
        <v>11</v>
      </c>
      <c r="B385" t="s">
        <v>106</v>
      </c>
      <c r="C385" t="s">
        <v>193</v>
      </c>
      <c r="D385" s="110">
        <v>369638</v>
      </c>
      <c r="E385" s="110">
        <v>369638</v>
      </c>
      <c r="I385" s="110">
        <v>346735</v>
      </c>
      <c r="J385" s="110">
        <v>369633</v>
      </c>
    </row>
    <row r="386" spans="1:12" x14ac:dyDescent="0.2">
      <c r="A386" t="s">
        <v>11</v>
      </c>
      <c r="B386" t="s">
        <v>106</v>
      </c>
      <c r="C386" t="s">
        <v>194</v>
      </c>
      <c r="D386" s="110">
        <v>351372</v>
      </c>
      <c r="I386" s="110">
        <v>351372</v>
      </c>
    </row>
    <row r="387" spans="1:12" x14ac:dyDescent="0.2">
      <c r="A387" t="s">
        <v>11</v>
      </c>
      <c r="B387" t="s">
        <v>107</v>
      </c>
      <c r="C387" t="s">
        <v>191</v>
      </c>
      <c r="D387" s="110">
        <v>182716</v>
      </c>
      <c r="E387" s="110">
        <v>182716</v>
      </c>
      <c r="F387" s="110">
        <v>182716</v>
      </c>
      <c r="G387" s="110">
        <v>182716</v>
      </c>
      <c r="I387" s="110">
        <v>182698</v>
      </c>
      <c r="J387" s="110">
        <v>182698</v>
      </c>
      <c r="K387" s="110">
        <v>182698</v>
      </c>
      <c r="L387" s="110">
        <v>182698</v>
      </c>
    </row>
    <row r="388" spans="1:12" x14ac:dyDescent="0.2">
      <c r="A388" t="s">
        <v>11</v>
      </c>
      <c r="B388" t="s">
        <v>107</v>
      </c>
      <c r="C388" t="s">
        <v>192</v>
      </c>
      <c r="D388" s="110">
        <v>217059</v>
      </c>
      <c r="E388" s="110">
        <v>217059</v>
      </c>
      <c r="F388" s="110">
        <v>217059</v>
      </c>
      <c r="I388" s="110">
        <v>217051</v>
      </c>
      <c r="J388" s="110">
        <v>217051</v>
      </c>
      <c r="K388" s="110">
        <v>217051</v>
      </c>
    </row>
    <row r="389" spans="1:12" x14ac:dyDescent="0.2">
      <c r="A389" t="s">
        <v>11</v>
      </c>
      <c r="B389" t="s">
        <v>107</v>
      </c>
      <c r="C389" t="s">
        <v>193</v>
      </c>
      <c r="D389" s="110">
        <v>241302</v>
      </c>
      <c r="E389" s="110">
        <v>241302</v>
      </c>
      <c r="I389" s="110">
        <v>241299</v>
      </c>
      <c r="J389" s="110">
        <v>241299</v>
      </c>
    </row>
    <row r="390" spans="1:12" x14ac:dyDescent="0.2">
      <c r="A390" t="s">
        <v>11</v>
      </c>
      <c r="B390" t="s">
        <v>107</v>
      </c>
      <c r="C390" t="s">
        <v>194</v>
      </c>
      <c r="D390" s="110">
        <v>244724</v>
      </c>
      <c r="I390" s="110">
        <v>244714</v>
      </c>
    </row>
    <row r="391" spans="1:12" x14ac:dyDescent="0.2">
      <c r="A391" t="s">
        <v>11</v>
      </c>
      <c r="B391" t="s">
        <v>108</v>
      </c>
      <c r="C391" t="s">
        <v>191</v>
      </c>
      <c r="D391" s="110">
        <v>37518</v>
      </c>
      <c r="E391" s="110">
        <v>37518</v>
      </c>
      <c r="F391" s="110">
        <v>37518</v>
      </c>
      <c r="G391" s="110">
        <v>37518</v>
      </c>
      <c r="I391" s="110">
        <v>37518</v>
      </c>
      <c r="J391" s="110">
        <v>37518</v>
      </c>
      <c r="K391" s="110">
        <v>37518</v>
      </c>
      <c r="L391" s="110">
        <v>37518</v>
      </c>
    </row>
    <row r="392" spans="1:12" x14ac:dyDescent="0.2">
      <c r="A392" t="s">
        <v>11</v>
      </c>
      <c r="B392" t="s">
        <v>108</v>
      </c>
      <c r="C392" t="s">
        <v>192</v>
      </c>
      <c r="D392" s="110">
        <v>46981</v>
      </c>
      <c r="E392" s="110">
        <v>46981</v>
      </c>
      <c r="F392" s="110">
        <v>46981</v>
      </c>
      <c r="I392" s="110">
        <v>46981</v>
      </c>
      <c r="J392" s="110">
        <v>46981</v>
      </c>
      <c r="K392" s="110">
        <v>46981</v>
      </c>
    </row>
    <row r="393" spans="1:12" x14ac:dyDescent="0.2">
      <c r="A393" t="s">
        <v>11</v>
      </c>
      <c r="B393" t="s">
        <v>108</v>
      </c>
      <c r="C393" t="s">
        <v>193</v>
      </c>
      <c r="D393" s="110">
        <v>46535</v>
      </c>
      <c r="E393" s="110">
        <v>46190</v>
      </c>
      <c r="I393" s="110">
        <v>46534</v>
      </c>
      <c r="J393" s="110">
        <v>46190</v>
      </c>
    </row>
    <row r="394" spans="1:12" x14ac:dyDescent="0.2">
      <c r="A394" t="s">
        <v>11</v>
      </c>
      <c r="B394" t="s">
        <v>108</v>
      </c>
      <c r="C394" t="s">
        <v>194</v>
      </c>
      <c r="D394" s="110">
        <v>39983</v>
      </c>
      <c r="I394" s="110">
        <v>39982</v>
      </c>
    </row>
    <row r="395" spans="1:12" x14ac:dyDescent="0.2">
      <c r="A395" t="s">
        <v>11</v>
      </c>
      <c r="B395" t="s">
        <v>70</v>
      </c>
      <c r="C395" t="s">
        <v>191</v>
      </c>
      <c r="D395" s="110">
        <v>112515</v>
      </c>
      <c r="E395" s="110">
        <v>112515</v>
      </c>
      <c r="F395" s="110">
        <v>111815</v>
      </c>
      <c r="G395" s="110">
        <v>111815</v>
      </c>
      <c r="I395" s="110">
        <v>110542</v>
      </c>
      <c r="J395" s="110">
        <v>110542</v>
      </c>
      <c r="K395" s="110">
        <v>110242</v>
      </c>
      <c r="L395" s="110">
        <v>110242</v>
      </c>
    </row>
    <row r="396" spans="1:12" x14ac:dyDescent="0.2">
      <c r="A396" t="s">
        <v>11</v>
      </c>
      <c r="B396" t="s">
        <v>70</v>
      </c>
      <c r="C396" t="s">
        <v>192</v>
      </c>
      <c r="D396" s="110">
        <v>142219</v>
      </c>
      <c r="E396" s="110">
        <v>142209</v>
      </c>
      <c r="F396" s="110">
        <v>141791</v>
      </c>
      <c r="I396" s="110">
        <v>140037</v>
      </c>
      <c r="J396" s="110">
        <v>140192</v>
      </c>
      <c r="K396" s="110">
        <v>140192</v>
      </c>
    </row>
    <row r="397" spans="1:12" x14ac:dyDescent="0.2">
      <c r="A397" t="s">
        <v>11</v>
      </c>
      <c r="B397" t="s">
        <v>70</v>
      </c>
      <c r="C397" t="s">
        <v>193</v>
      </c>
      <c r="D397" s="110">
        <v>144737</v>
      </c>
      <c r="E397" s="110">
        <v>142908</v>
      </c>
      <c r="I397" s="110">
        <v>140269</v>
      </c>
      <c r="J397" s="110">
        <v>139974</v>
      </c>
    </row>
    <row r="398" spans="1:12" x14ac:dyDescent="0.2">
      <c r="A398" t="s">
        <v>11</v>
      </c>
      <c r="B398" t="s">
        <v>70</v>
      </c>
      <c r="C398" t="s">
        <v>194</v>
      </c>
      <c r="D398" s="110">
        <v>130378</v>
      </c>
      <c r="I398" s="110">
        <v>127163</v>
      </c>
    </row>
    <row r="399" spans="1:12" x14ac:dyDescent="0.2">
      <c r="A399" t="s">
        <v>11</v>
      </c>
      <c r="B399" t="s">
        <v>110</v>
      </c>
      <c r="C399" t="s">
        <v>191</v>
      </c>
      <c r="D399" s="110">
        <v>1011583</v>
      </c>
      <c r="E399" s="110">
        <v>900012</v>
      </c>
      <c r="F399" s="110">
        <v>844732</v>
      </c>
      <c r="G399" s="110">
        <v>832646</v>
      </c>
      <c r="I399" s="110">
        <v>311311</v>
      </c>
      <c r="J399" s="110">
        <v>659251</v>
      </c>
      <c r="K399" s="110">
        <v>717869</v>
      </c>
      <c r="L399" s="110">
        <v>733714</v>
      </c>
    </row>
    <row r="400" spans="1:12" x14ac:dyDescent="0.2">
      <c r="A400" t="s">
        <v>11</v>
      </c>
      <c r="B400" t="s">
        <v>110</v>
      </c>
      <c r="C400" t="s">
        <v>192</v>
      </c>
      <c r="D400" s="110">
        <v>1187031</v>
      </c>
      <c r="E400" s="110">
        <v>1041416</v>
      </c>
      <c r="F400" s="110">
        <v>987547</v>
      </c>
      <c r="I400" s="110">
        <v>382181</v>
      </c>
      <c r="J400" s="110">
        <v>753170</v>
      </c>
      <c r="K400" s="110">
        <v>821872</v>
      </c>
    </row>
    <row r="401" spans="1:12" x14ac:dyDescent="0.2">
      <c r="A401" t="s">
        <v>11</v>
      </c>
      <c r="B401" t="s">
        <v>110</v>
      </c>
      <c r="C401" t="s">
        <v>193</v>
      </c>
      <c r="D401" s="110">
        <v>1145297</v>
      </c>
      <c r="E401" s="110">
        <v>1019323</v>
      </c>
      <c r="I401" s="110">
        <v>342438</v>
      </c>
      <c r="J401" s="110">
        <v>723210</v>
      </c>
    </row>
    <row r="402" spans="1:12" x14ac:dyDescent="0.2">
      <c r="A402" t="s">
        <v>11</v>
      </c>
      <c r="B402" t="s">
        <v>110</v>
      </c>
      <c r="C402" t="s">
        <v>194</v>
      </c>
      <c r="D402" s="110">
        <v>1130282</v>
      </c>
      <c r="I402" s="110">
        <v>315589</v>
      </c>
    </row>
    <row r="403" spans="1:12" x14ac:dyDescent="0.2">
      <c r="A403" t="s">
        <v>12</v>
      </c>
      <c r="B403" t="s">
        <v>104</v>
      </c>
      <c r="C403" t="s">
        <v>191</v>
      </c>
      <c r="D403" s="110">
        <v>883602.76</v>
      </c>
      <c r="E403" s="110">
        <v>883352.76</v>
      </c>
      <c r="F403" s="110">
        <v>882752.76</v>
      </c>
      <c r="G403" s="110">
        <v>882752.76</v>
      </c>
      <c r="I403" s="110">
        <v>75640.990000000005</v>
      </c>
      <c r="J403" s="110">
        <v>86784.73</v>
      </c>
      <c r="K403" s="110">
        <v>96958.44</v>
      </c>
      <c r="L403" s="110">
        <v>103317.06</v>
      </c>
    </row>
    <row r="404" spans="1:12" x14ac:dyDescent="0.2">
      <c r="A404" t="s">
        <v>12</v>
      </c>
      <c r="B404" t="s">
        <v>104</v>
      </c>
      <c r="C404" t="s">
        <v>192</v>
      </c>
      <c r="D404" s="110">
        <v>996183.25</v>
      </c>
      <c r="E404" s="110">
        <v>995588.42</v>
      </c>
      <c r="F404" s="110">
        <v>995588.42</v>
      </c>
      <c r="I404" s="110">
        <v>91033.48</v>
      </c>
      <c r="J404" s="110">
        <v>107796.27</v>
      </c>
      <c r="K404" s="110">
        <v>118072.36</v>
      </c>
    </row>
    <row r="405" spans="1:12" x14ac:dyDescent="0.2">
      <c r="A405" t="s">
        <v>12</v>
      </c>
      <c r="B405" t="s">
        <v>104</v>
      </c>
      <c r="C405" t="s">
        <v>193</v>
      </c>
      <c r="D405" s="110">
        <v>2304391.98</v>
      </c>
      <c r="E405" s="110">
        <v>2304341.98</v>
      </c>
      <c r="I405" s="110">
        <v>82352.44</v>
      </c>
      <c r="J405" s="110">
        <v>92451.23</v>
      </c>
    </row>
    <row r="406" spans="1:12" x14ac:dyDescent="0.2">
      <c r="A406" t="s">
        <v>12</v>
      </c>
      <c r="B406" t="s">
        <v>104</v>
      </c>
      <c r="C406" t="s">
        <v>194</v>
      </c>
      <c r="D406" s="110">
        <v>475843.28</v>
      </c>
      <c r="I406" s="110">
        <v>78721.279999999999</v>
      </c>
    </row>
    <row r="407" spans="1:12" x14ac:dyDescent="0.2">
      <c r="A407" t="s">
        <v>12</v>
      </c>
      <c r="B407" t="s">
        <v>140</v>
      </c>
      <c r="C407" t="s">
        <v>191</v>
      </c>
      <c r="D407" s="110">
        <v>580232</v>
      </c>
      <c r="E407" s="110">
        <v>580182</v>
      </c>
      <c r="F407" s="110">
        <v>580182</v>
      </c>
      <c r="G407" s="110">
        <v>580182</v>
      </c>
      <c r="I407" s="110">
        <v>5</v>
      </c>
      <c r="J407" s="110">
        <v>5</v>
      </c>
      <c r="K407" s="110">
        <v>5</v>
      </c>
      <c r="L407" s="110">
        <v>5</v>
      </c>
    </row>
    <row r="408" spans="1:12" x14ac:dyDescent="0.2">
      <c r="A408" t="s">
        <v>12</v>
      </c>
      <c r="B408" t="s">
        <v>140</v>
      </c>
      <c r="C408" t="s">
        <v>192</v>
      </c>
      <c r="D408" s="110">
        <v>632542.64</v>
      </c>
      <c r="E408" s="110">
        <v>632542.64</v>
      </c>
      <c r="F408" s="110">
        <v>632542.64</v>
      </c>
      <c r="I408" s="110">
        <v>17.64</v>
      </c>
      <c r="J408" s="110">
        <v>17.64</v>
      </c>
      <c r="K408" s="110">
        <v>17.64</v>
      </c>
    </row>
    <row r="409" spans="1:12" x14ac:dyDescent="0.2">
      <c r="A409" t="s">
        <v>12</v>
      </c>
      <c r="B409" t="s">
        <v>140</v>
      </c>
      <c r="C409" t="s">
        <v>193</v>
      </c>
      <c r="D409" s="110">
        <v>2000563.28</v>
      </c>
      <c r="E409" s="110">
        <v>2000563.28</v>
      </c>
      <c r="I409" s="110">
        <v>85.08</v>
      </c>
      <c r="J409" s="110">
        <v>85.08</v>
      </c>
    </row>
    <row r="410" spans="1:12" x14ac:dyDescent="0.2">
      <c r="A410" t="s">
        <v>12</v>
      </c>
      <c r="B410" t="s">
        <v>140</v>
      </c>
      <c r="C410" t="s">
        <v>194</v>
      </c>
      <c r="D410" s="110">
        <v>213338.14</v>
      </c>
      <c r="I410" s="110">
        <v>24145.64</v>
      </c>
    </row>
    <row r="411" spans="1:12" x14ac:dyDescent="0.2">
      <c r="A411" t="s">
        <v>12</v>
      </c>
      <c r="B411" t="s">
        <v>105</v>
      </c>
      <c r="C411" t="s">
        <v>191</v>
      </c>
      <c r="D411" s="110">
        <v>268156.88</v>
      </c>
      <c r="E411" s="110">
        <v>266914.88</v>
      </c>
      <c r="F411" s="110">
        <v>266301.76</v>
      </c>
      <c r="G411" s="110">
        <v>266301.76</v>
      </c>
      <c r="I411" s="110">
        <v>91836.57</v>
      </c>
      <c r="J411" s="110">
        <v>118854.8</v>
      </c>
      <c r="K411" s="110">
        <v>131109.87</v>
      </c>
      <c r="L411" s="110">
        <v>139755.10999999999</v>
      </c>
    </row>
    <row r="412" spans="1:12" x14ac:dyDescent="0.2">
      <c r="A412" t="s">
        <v>12</v>
      </c>
      <c r="B412" t="s">
        <v>105</v>
      </c>
      <c r="C412" t="s">
        <v>192</v>
      </c>
      <c r="D412" s="110">
        <v>231444.42</v>
      </c>
      <c r="E412" s="110">
        <v>229131.38</v>
      </c>
      <c r="F412" s="110">
        <v>229131.38</v>
      </c>
      <c r="I412" s="110">
        <v>91461.77</v>
      </c>
      <c r="J412" s="110">
        <v>113506.98</v>
      </c>
      <c r="K412" s="110">
        <v>124122.82</v>
      </c>
    </row>
    <row r="413" spans="1:12" x14ac:dyDescent="0.2">
      <c r="A413" t="s">
        <v>12</v>
      </c>
      <c r="B413" t="s">
        <v>105</v>
      </c>
      <c r="C413" t="s">
        <v>193</v>
      </c>
      <c r="D413" s="110">
        <v>244593.7</v>
      </c>
      <c r="E413" s="110">
        <v>244593.7</v>
      </c>
      <c r="I413" s="110">
        <v>78137.38</v>
      </c>
      <c r="J413" s="110">
        <v>102896.27</v>
      </c>
    </row>
    <row r="414" spans="1:12" x14ac:dyDescent="0.2">
      <c r="A414" t="s">
        <v>12</v>
      </c>
      <c r="B414" t="s">
        <v>105</v>
      </c>
      <c r="C414" t="s">
        <v>194</v>
      </c>
      <c r="D414" s="110">
        <v>263748.18</v>
      </c>
      <c r="I414" s="110">
        <v>101486.64</v>
      </c>
    </row>
    <row r="415" spans="1:12" x14ac:dyDescent="0.2">
      <c r="A415" t="s">
        <v>12</v>
      </c>
      <c r="B415" t="s">
        <v>111</v>
      </c>
      <c r="C415" t="s">
        <v>191</v>
      </c>
      <c r="D415" s="110">
        <v>18384</v>
      </c>
      <c r="E415" s="110">
        <v>16979.169999999998</v>
      </c>
      <c r="F415" s="110">
        <v>16544.169999999998</v>
      </c>
      <c r="G415" s="110">
        <v>16544.169999999998</v>
      </c>
      <c r="I415" s="110">
        <v>3209</v>
      </c>
      <c r="J415" s="110">
        <v>5939.17</v>
      </c>
      <c r="K415" s="110">
        <v>7929.17</v>
      </c>
      <c r="L415" s="110">
        <v>9249.17</v>
      </c>
    </row>
    <row r="416" spans="1:12" x14ac:dyDescent="0.2">
      <c r="A416" t="s">
        <v>12</v>
      </c>
      <c r="B416" t="s">
        <v>111</v>
      </c>
      <c r="C416" t="s">
        <v>192</v>
      </c>
      <c r="D416" s="110">
        <v>15175.5</v>
      </c>
      <c r="E416" s="110">
        <v>14840.5</v>
      </c>
      <c r="F416" s="110">
        <v>14840.5</v>
      </c>
      <c r="I416" s="110">
        <v>3895.5</v>
      </c>
      <c r="J416" s="110">
        <v>5769.06</v>
      </c>
      <c r="K416" s="110">
        <v>6444.06</v>
      </c>
    </row>
    <row r="417" spans="1:12" x14ac:dyDescent="0.2">
      <c r="A417" t="s">
        <v>12</v>
      </c>
      <c r="B417" t="s">
        <v>111</v>
      </c>
      <c r="C417" t="s">
        <v>193</v>
      </c>
      <c r="D417" s="110">
        <v>25650</v>
      </c>
      <c r="E417" s="110">
        <v>25650</v>
      </c>
      <c r="I417" s="110">
        <v>4869.8500000000004</v>
      </c>
      <c r="J417" s="110">
        <v>7411.85</v>
      </c>
    </row>
    <row r="418" spans="1:12" x14ac:dyDescent="0.2">
      <c r="A418" t="s">
        <v>12</v>
      </c>
      <c r="B418" t="s">
        <v>111</v>
      </c>
      <c r="C418" t="s">
        <v>194</v>
      </c>
      <c r="D418" s="110">
        <v>15647.5</v>
      </c>
      <c r="I418" s="110">
        <v>1941.5</v>
      </c>
    </row>
    <row r="419" spans="1:12" x14ac:dyDescent="0.2">
      <c r="A419" t="s">
        <v>12</v>
      </c>
      <c r="B419" t="s">
        <v>109</v>
      </c>
      <c r="C419" t="s">
        <v>191</v>
      </c>
      <c r="D419" s="110">
        <v>413818.72</v>
      </c>
      <c r="E419" s="110">
        <v>411837.84</v>
      </c>
      <c r="F419" s="110">
        <v>411275.57</v>
      </c>
      <c r="G419" s="110">
        <v>411275.57</v>
      </c>
      <c r="I419" s="110">
        <v>121244.58</v>
      </c>
      <c r="J419" s="110">
        <v>182539.96</v>
      </c>
      <c r="K419" s="110">
        <v>219967.72</v>
      </c>
      <c r="L419" s="110">
        <v>249046.57</v>
      </c>
    </row>
    <row r="420" spans="1:12" x14ac:dyDescent="0.2">
      <c r="A420" t="s">
        <v>12</v>
      </c>
      <c r="B420" t="s">
        <v>109</v>
      </c>
      <c r="C420" t="s">
        <v>192</v>
      </c>
      <c r="D420" s="110">
        <v>448845.71</v>
      </c>
      <c r="E420" s="110">
        <v>444840.79</v>
      </c>
      <c r="F420" s="110">
        <v>444840.79</v>
      </c>
      <c r="I420" s="110">
        <v>144535.32</v>
      </c>
      <c r="J420" s="110">
        <v>202876.81</v>
      </c>
      <c r="K420" s="110">
        <v>241955.34</v>
      </c>
    </row>
    <row r="421" spans="1:12" x14ac:dyDescent="0.2">
      <c r="A421" t="s">
        <v>12</v>
      </c>
      <c r="B421" t="s">
        <v>109</v>
      </c>
      <c r="C421" t="s">
        <v>193</v>
      </c>
      <c r="D421" s="110">
        <v>449869.55</v>
      </c>
      <c r="E421" s="110">
        <v>449819.55</v>
      </c>
      <c r="I421" s="110">
        <v>145322.48000000001</v>
      </c>
      <c r="J421" s="110">
        <v>221432.85</v>
      </c>
    </row>
    <row r="422" spans="1:12" x14ac:dyDescent="0.2">
      <c r="A422" t="s">
        <v>12</v>
      </c>
      <c r="B422" t="s">
        <v>109</v>
      </c>
      <c r="C422" t="s">
        <v>194</v>
      </c>
      <c r="D422" s="110">
        <v>428606.69</v>
      </c>
      <c r="I422" s="110">
        <v>168017.5</v>
      </c>
    </row>
    <row r="423" spans="1:12" x14ac:dyDescent="0.2">
      <c r="A423" t="s">
        <v>12</v>
      </c>
      <c r="B423" t="s">
        <v>106</v>
      </c>
      <c r="C423" t="s">
        <v>191</v>
      </c>
      <c r="D423" s="110">
        <v>722314.32</v>
      </c>
      <c r="E423" s="110">
        <v>719571.82</v>
      </c>
      <c r="F423" s="110">
        <v>719571.82</v>
      </c>
      <c r="G423" s="110">
        <v>718666.82</v>
      </c>
      <c r="I423" s="110">
        <v>715513.72</v>
      </c>
      <c r="J423" s="110">
        <v>716267.32</v>
      </c>
      <c r="K423" s="110">
        <v>716811.37</v>
      </c>
      <c r="L423" s="110">
        <v>717488.87</v>
      </c>
    </row>
    <row r="424" spans="1:12" x14ac:dyDescent="0.2">
      <c r="A424" t="s">
        <v>12</v>
      </c>
      <c r="B424" t="s">
        <v>106</v>
      </c>
      <c r="C424" t="s">
        <v>192</v>
      </c>
      <c r="D424" s="110">
        <v>886493.17</v>
      </c>
      <c r="E424" s="110">
        <v>886493.17</v>
      </c>
      <c r="F424" s="110">
        <v>886493.17</v>
      </c>
      <c r="I424" s="110">
        <v>874222.07</v>
      </c>
      <c r="J424" s="110">
        <v>877424.17</v>
      </c>
      <c r="K424" s="110">
        <v>878372.67</v>
      </c>
    </row>
    <row r="425" spans="1:12" x14ac:dyDescent="0.2">
      <c r="A425" t="s">
        <v>12</v>
      </c>
      <c r="B425" t="s">
        <v>106</v>
      </c>
      <c r="C425" t="s">
        <v>193</v>
      </c>
      <c r="D425" s="110">
        <v>1212250.1599999999</v>
      </c>
      <c r="E425" s="110">
        <v>1212250.1599999999</v>
      </c>
      <c r="I425" s="110">
        <v>1203070.8799999999</v>
      </c>
      <c r="J425" s="110">
        <v>1204560.8799999999</v>
      </c>
    </row>
    <row r="426" spans="1:12" x14ac:dyDescent="0.2">
      <c r="A426" t="s">
        <v>12</v>
      </c>
      <c r="B426" t="s">
        <v>106</v>
      </c>
      <c r="C426" t="s">
        <v>194</v>
      </c>
      <c r="D426" s="110">
        <v>969844.35</v>
      </c>
      <c r="I426" s="110">
        <v>952980.63</v>
      </c>
    </row>
    <row r="427" spans="1:12" x14ac:dyDescent="0.2">
      <c r="A427" t="s">
        <v>12</v>
      </c>
      <c r="B427" t="s">
        <v>107</v>
      </c>
      <c r="C427" t="s">
        <v>191</v>
      </c>
      <c r="D427" s="110">
        <v>356279.24</v>
      </c>
      <c r="E427" s="110">
        <v>355979.24</v>
      </c>
      <c r="F427" s="110">
        <v>355979.24</v>
      </c>
      <c r="G427" s="110">
        <v>355979.24</v>
      </c>
      <c r="I427" s="110">
        <v>354878.24</v>
      </c>
      <c r="J427" s="110">
        <v>355019.24</v>
      </c>
      <c r="K427" s="110">
        <v>355319.24</v>
      </c>
      <c r="L427" s="110">
        <v>355319.24</v>
      </c>
    </row>
    <row r="428" spans="1:12" x14ac:dyDescent="0.2">
      <c r="A428" t="s">
        <v>12</v>
      </c>
      <c r="B428" t="s">
        <v>107</v>
      </c>
      <c r="C428" t="s">
        <v>192</v>
      </c>
      <c r="D428" s="110">
        <v>343730.8</v>
      </c>
      <c r="E428" s="110">
        <v>343680.8</v>
      </c>
      <c r="F428" s="110">
        <v>343680.8</v>
      </c>
      <c r="I428" s="110">
        <v>342403.07</v>
      </c>
      <c r="J428" s="110">
        <v>343303.07</v>
      </c>
      <c r="K428" s="110">
        <v>343303.07</v>
      </c>
    </row>
    <row r="429" spans="1:12" x14ac:dyDescent="0.2">
      <c r="A429" t="s">
        <v>12</v>
      </c>
      <c r="B429" t="s">
        <v>107</v>
      </c>
      <c r="C429" t="s">
        <v>193</v>
      </c>
      <c r="D429" s="110">
        <v>381847.81</v>
      </c>
      <c r="E429" s="110">
        <v>381847.81</v>
      </c>
      <c r="I429" s="110">
        <v>380491.31</v>
      </c>
      <c r="J429" s="110">
        <v>381565.31</v>
      </c>
    </row>
    <row r="430" spans="1:12" x14ac:dyDescent="0.2">
      <c r="A430" t="s">
        <v>12</v>
      </c>
      <c r="B430" t="s">
        <v>107</v>
      </c>
      <c r="C430" t="s">
        <v>194</v>
      </c>
      <c r="D430" s="110">
        <v>362694.85</v>
      </c>
      <c r="I430" s="110">
        <v>360984.31</v>
      </c>
    </row>
    <row r="431" spans="1:12" x14ac:dyDescent="0.2">
      <c r="A431" t="s">
        <v>12</v>
      </c>
      <c r="B431" t="s">
        <v>108</v>
      </c>
      <c r="C431" t="s">
        <v>191</v>
      </c>
      <c r="D431" s="110">
        <v>170974.58</v>
      </c>
      <c r="E431" s="110">
        <v>170974.58</v>
      </c>
      <c r="F431" s="110">
        <v>170974.58</v>
      </c>
      <c r="G431" s="110">
        <v>170974.58</v>
      </c>
      <c r="I431" s="110">
        <v>170905.5</v>
      </c>
      <c r="J431" s="110">
        <v>170974.58</v>
      </c>
      <c r="K431" s="110">
        <v>170974.58</v>
      </c>
      <c r="L431" s="110">
        <v>170974.58</v>
      </c>
    </row>
    <row r="432" spans="1:12" x14ac:dyDescent="0.2">
      <c r="A432" t="s">
        <v>12</v>
      </c>
      <c r="B432" t="s">
        <v>108</v>
      </c>
      <c r="C432" t="s">
        <v>192</v>
      </c>
      <c r="D432" s="110">
        <v>168167.5</v>
      </c>
      <c r="E432" s="110">
        <v>168167.5</v>
      </c>
      <c r="F432" s="110">
        <v>168167.5</v>
      </c>
      <c r="I432" s="110">
        <v>166520</v>
      </c>
      <c r="J432" s="110">
        <v>167912.5</v>
      </c>
      <c r="K432" s="110">
        <v>167912.5</v>
      </c>
    </row>
    <row r="433" spans="1:12" x14ac:dyDescent="0.2">
      <c r="A433" t="s">
        <v>12</v>
      </c>
      <c r="B433" t="s">
        <v>108</v>
      </c>
      <c r="C433" t="s">
        <v>193</v>
      </c>
      <c r="D433" s="110">
        <v>162508.51999999999</v>
      </c>
      <c r="E433" s="110">
        <v>162508.51999999999</v>
      </c>
      <c r="I433" s="110">
        <v>162092.51999999999</v>
      </c>
      <c r="J433" s="110">
        <v>162277.51999999999</v>
      </c>
    </row>
    <row r="434" spans="1:12" x14ac:dyDescent="0.2">
      <c r="A434" t="s">
        <v>12</v>
      </c>
      <c r="B434" t="s">
        <v>108</v>
      </c>
      <c r="C434" t="s">
        <v>194</v>
      </c>
      <c r="D434" s="110">
        <v>155488</v>
      </c>
      <c r="I434" s="110">
        <v>155177</v>
      </c>
    </row>
    <row r="435" spans="1:12" x14ac:dyDescent="0.2">
      <c r="A435" t="s">
        <v>12</v>
      </c>
      <c r="B435" t="s">
        <v>70</v>
      </c>
      <c r="C435" t="s">
        <v>191</v>
      </c>
      <c r="D435" s="110">
        <v>181369.54</v>
      </c>
      <c r="E435" s="110">
        <v>181319.54</v>
      </c>
      <c r="F435" s="110">
        <v>181298.54</v>
      </c>
      <c r="G435" s="110">
        <v>181298.54</v>
      </c>
      <c r="I435" s="110">
        <v>176308.04</v>
      </c>
      <c r="J435" s="110">
        <v>177257.63</v>
      </c>
      <c r="K435" s="110">
        <v>177321.63</v>
      </c>
      <c r="L435" s="110">
        <v>177764.13</v>
      </c>
    </row>
    <row r="436" spans="1:12" x14ac:dyDescent="0.2">
      <c r="A436" t="s">
        <v>12</v>
      </c>
      <c r="B436" t="s">
        <v>70</v>
      </c>
      <c r="C436" t="s">
        <v>192</v>
      </c>
      <c r="D436" s="110">
        <v>190888.04</v>
      </c>
      <c r="E436" s="110">
        <v>190888.04</v>
      </c>
      <c r="F436" s="110">
        <v>190495.54</v>
      </c>
      <c r="I436" s="110">
        <v>183409.45</v>
      </c>
      <c r="J436" s="110">
        <v>186100.2</v>
      </c>
      <c r="K436" s="110">
        <v>186100.2</v>
      </c>
    </row>
    <row r="437" spans="1:12" x14ac:dyDescent="0.2">
      <c r="A437" t="s">
        <v>12</v>
      </c>
      <c r="B437" t="s">
        <v>70</v>
      </c>
      <c r="C437" t="s">
        <v>193</v>
      </c>
      <c r="D437" s="110">
        <v>217056</v>
      </c>
      <c r="E437" s="110">
        <v>217056</v>
      </c>
      <c r="I437" s="110">
        <v>210488</v>
      </c>
      <c r="J437" s="110">
        <v>213053.5</v>
      </c>
    </row>
    <row r="438" spans="1:12" x14ac:dyDescent="0.2">
      <c r="A438" t="s">
        <v>12</v>
      </c>
      <c r="B438" t="s">
        <v>70</v>
      </c>
      <c r="C438" t="s">
        <v>194</v>
      </c>
      <c r="D438" s="110">
        <v>179793.58</v>
      </c>
      <c r="I438" s="110">
        <v>175672.58</v>
      </c>
    </row>
    <row r="439" spans="1:12" x14ac:dyDescent="0.2">
      <c r="A439" t="s">
        <v>12</v>
      </c>
      <c r="B439" t="s">
        <v>110</v>
      </c>
      <c r="C439" t="s">
        <v>191</v>
      </c>
      <c r="D439" s="110">
        <v>1401627.19</v>
      </c>
      <c r="E439" s="110">
        <v>1399128.19</v>
      </c>
      <c r="F439" s="110">
        <v>1398832.19</v>
      </c>
      <c r="G439" s="110">
        <v>1398832.19</v>
      </c>
      <c r="I439" s="110">
        <v>785537.61</v>
      </c>
      <c r="J439" s="110">
        <v>1208053.94</v>
      </c>
      <c r="K439" s="110">
        <v>1263954.72</v>
      </c>
      <c r="L439" s="110">
        <v>1286238.95</v>
      </c>
    </row>
    <row r="440" spans="1:12" x14ac:dyDescent="0.2">
      <c r="A440" t="s">
        <v>12</v>
      </c>
      <c r="B440" t="s">
        <v>110</v>
      </c>
      <c r="C440" t="s">
        <v>192</v>
      </c>
      <c r="D440" s="110">
        <v>1735709.3</v>
      </c>
      <c r="E440" s="110">
        <v>1734160.3</v>
      </c>
      <c r="F440" s="110">
        <v>1734160.3</v>
      </c>
      <c r="I440" s="110">
        <v>1065058.1200000001</v>
      </c>
      <c r="J440" s="110">
        <v>1527307</v>
      </c>
      <c r="K440" s="110">
        <v>1582517.14</v>
      </c>
    </row>
    <row r="441" spans="1:12" x14ac:dyDescent="0.2">
      <c r="A441" t="s">
        <v>12</v>
      </c>
      <c r="B441" t="s">
        <v>110</v>
      </c>
      <c r="C441" t="s">
        <v>193</v>
      </c>
      <c r="D441" s="110">
        <v>1654908.05</v>
      </c>
      <c r="E441" s="110">
        <v>1654099.05</v>
      </c>
      <c r="I441" s="110">
        <v>978739.8</v>
      </c>
      <c r="J441" s="110">
        <v>1422430.6</v>
      </c>
    </row>
    <row r="442" spans="1:12" x14ac:dyDescent="0.2">
      <c r="A442" t="s">
        <v>12</v>
      </c>
      <c r="B442" t="s">
        <v>110</v>
      </c>
      <c r="C442" t="s">
        <v>194</v>
      </c>
      <c r="D442" s="110">
        <v>1515430.74</v>
      </c>
      <c r="I442" s="110">
        <v>835735.38</v>
      </c>
    </row>
    <row r="443" spans="1:12" x14ac:dyDescent="0.2">
      <c r="A443" t="s">
        <v>13</v>
      </c>
      <c r="B443" t="s">
        <v>104</v>
      </c>
      <c r="C443" t="s">
        <v>191</v>
      </c>
      <c r="D443" s="110">
        <v>664521.25</v>
      </c>
      <c r="E443" s="110">
        <v>664421.25</v>
      </c>
      <c r="F443" s="110">
        <v>664371.25</v>
      </c>
      <c r="G443" s="110">
        <v>664371.25</v>
      </c>
      <c r="I443" s="110">
        <v>3768.06</v>
      </c>
      <c r="J443" s="110">
        <v>10861.25</v>
      </c>
      <c r="K443" s="110">
        <v>18788.990000000002</v>
      </c>
      <c r="L443" s="110">
        <v>24704.07</v>
      </c>
    </row>
    <row r="444" spans="1:12" x14ac:dyDescent="0.2">
      <c r="A444" t="s">
        <v>13</v>
      </c>
      <c r="B444" t="s">
        <v>104</v>
      </c>
      <c r="C444" t="s">
        <v>192</v>
      </c>
      <c r="D444" s="110">
        <v>342816</v>
      </c>
      <c r="E444" s="110">
        <v>342766</v>
      </c>
      <c r="F444" s="110">
        <v>342101</v>
      </c>
      <c r="I444" s="110">
        <v>4020.14</v>
      </c>
      <c r="J444" s="110">
        <v>11638.66</v>
      </c>
      <c r="K444" s="110">
        <v>18776.900000000001</v>
      </c>
    </row>
    <row r="445" spans="1:12" x14ac:dyDescent="0.2">
      <c r="A445" t="s">
        <v>13</v>
      </c>
      <c r="B445" t="s">
        <v>104</v>
      </c>
      <c r="C445" t="s">
        <v>193</v>
      </c>
      <c r="D445" s="110">
        <v>202241.35</v>
      </c>
      <c r="E445" s="110">
        <v>202241.35</v>
      </c>
      <c r="I445" s="110">
        <v>8389.81</v>
      </c>
      <c r="J445" s="110">
        <v>16560.400000000001</v>
      </c>
    </row>
    <row r="446" spans="1:12" x14ac:dyDescent="0.2">
      <c r="A446" t="s">
        <v>13</v>
      </c>
      <c r="B446" t="s">
        <v>104</v>
      </c>
      <c r="C446" t="s">
        <v>194</v>
      </c>
      <c r="D446" s="110">
        <v>355683.5</v>
      </c>
      <c r="I446" s="110">
        <v>4302.24</v>
      </c>
    </row>
    <row r="447" spans="1:12" x14ac:dyDescent="0.2">
      <c r="A447" t="s">
        <v>13</v>
      </c>
      <c r="B447" t="s">
        <v>140</v>
      </c>
      <c r="C447" t="s">
        <v>191</v>
      </c>
      <c r="D447" s="110">
        <v>477190</v>
      </c>
      <c r="E447" s="110">
        <v>477240</v>
      </c>
      <c r="F447" s="110">
        <v>477240</v>
      </c>
      <c r="G447" s="110">
        <v>477290</v>
      </c>
    </row>
    <row r="448" spans="1:12" x14ac:dyDescent="0.2">
      <c r="A448" t="s">
        <v>13</v>
      </c>
      <c r="B448" t="s">
        <v>140</v>
      </c>
      <c r="C448" t="s">
        <v>192</v>
      </c>
      <c r="D448" s="110">
        <v>159336</v>
      </c>
      <c r="E448" s="110">
        <v>159336</v>
      </c>
      <c r="F448" s="110">
        <v>159336</v>
      </c>
    </row>
    <row r="449" spans="1:12" x14ac:dyDescent="0.2">
      <c r="A449" t="s">
        <v>13</v>
      </c>
      <c r="B449" t="s">
        <v>140</v>
      </c>
      <c r="C449" t="s">
        <v>193</v>
      </c>
      <c r="D449" s="110">
        <v>52918</v>
      </c>
      <c r="E449" s="110">
        <v>52918</v>
      </c>
    </row>
    <row r="450" spans="1:12" x14ac:dyDescent="0.2">
      <c r="A450" t="s">
        <v>13</v>
      </c>
      <c r="B450" t="s">
        <v>140</v>
      </c>
      <c r="C450" t="s">
        <v>194</v>
      </c>
      <c r="D450" s="110">
        <v>213272</v>
      </c>
    </row>
    <row r="451" spans="1:12" x14ac:dyDescent="0.2">
      <c r="A451" t="s">
        <v>13</v>
      </c>
      <c r="B451" t="s">
        <v>105</v>
      </c>
      <c r="C451" t="s">
        <v>191</v>
      </c>
      <c r="D451" s="110">
        <v>68424</v>
      </c>
      <c r="E451" s="110">
        <v>67948.5</v>
      </c>
      <c r="F451" s="110">
        <v>67356.600000000006</v>
      </c>
      <c r="G451" s="110">
        <v>67058.600000000006</v>
      </c>
      <c r="I451" s="110">
        <v>11630.5</v>
      </c>
      <c r="J451" s="110">
        <v>16215.5</v>
      </c>
      <c r="K451" s="110">
        <v>23656.5</v>
      </c>
      <c r="L451" s="110">
        <v>26872.5</v>
      </c>
    </row>
    <row r="452" spans="1:12" x14ac:dyDescent="0.2">
      <c r="A452" t="s">
        <v>13</v>
      </c>
      <c r="B452" t="s">
        <v>105</v>
      </c>
      <c r="C452" t="s">
        <v>192</v>
      </c>
      <c r="D452" s="110">
        <v>70652</v>
      </c>
      <c r="E452" s="110">
        <v>70579.5</v>
      </c>
      <c r="F452" s="110">
        <v>70288.100000000006</v>
      </c>
      <c r="I452" s="110">
        <v>7833</v>
      </c>
      <c r="J452" s="110">
        <v>15094.5</v>
      </c>
      <c r="K452" s="110">
        <v>21449.1</v>
      </c>
    </row>
    <row r="453" spans="1:12" x14ac:dyDescent="0.2">
      <c r="A453" t="s">
        <v>13</v>
      </c>
      <c r="B453" t="s">
        <v>105</v>
      </c>
      <c r="C453" t="s">
        <v>193</v>
      </c>
      <c r="D453" s="110">
        <v>60383</v>
      </c>
      <c r="E453" s="110">
        <v>60310.5</v>
      </c>
      <c r="I453" s="110">
        <v>10568.5</v>
      </c>
      <c r="J453" s="110">
        <v>16291</v>
      </c>
    </row>
    <row r="454" spans="1:12" x14ac:dyDescent="0.2">
      <c r="A454" t="s">
        <v>13</v>
      </c>
      <c r="B454" t="s">
        <v>105</v>
      </c>
      <c r="C454" t="s">
        <v>194</v>
      </c>
      <c r="D454" s="110">
        <v>57788.5</v>
      </c>
      <c r="I454" s="110">
        <v>8739.5</v>
      </c>
    </row>
    <row r="455" spans="1:12" x14ac:dyDescent="0.2">
      <c r="A455" t="s">
        <v>13</v>
      </c>
      <c r="B455" t="s">
        <v>111</v>
      </c>
      <c r="C455" t="s">
        <v>191</v>
      </c>
      <c r="D455" s="110">
        <v>888</v>
      </c>
      <c r="E455" s="110">
        <v>888</v>
      </c>
      <c r="F455" s="110">
        <v>888</v>
      </c>
      <c r="G455" s="110">
        <v>888</v>
      </c>
      <c r="I455" s="110">
        <v>398.1</v>
      </c>
      <c r="J455" s="110">
        <v>398.1</v>
      </c>
      <c r="K455" s="110">
        <v>398.1</v>
      </c>
      <c r="L455" s="110">
        <v>398.1</v>
      </c>
    </row>
    <row r="456" spans="1:12" x14ac:dyDescent="0.2">
      <c r="A456" t="s">
        <v>13</v>
      </c>
      <c r="B456" t="s">
        <v>111</v>
      </c>
      <c r="C456" t="s">
        <v>192</v>
      </c>
      <c r="D456" s="110">
        <v>350</v>
      </c>
      <c r="E456" s="110">
        <v>350</v>
      </c>
      <c r="F456" s="110">
        <v>350</v>
      </c>
      <c r="I456" s="110">
        <v>200</v>
      </c>
      <c r="J456" s="110">
        <v>200</v>
      </c>
      <c r="K456" s="110">
        <v>200</v>
      </c>
    </row>
    <row r="457" spans="1:12" x14ac:dyDescent="0.2">
      <c r="A457" t="s">
        <v>13</v>
      </c>
      <c r="B457" t="s">
        <v>111</v>
      </c>
      <c r="C457" t="s">
        <v>193</v>
      </c>
      <c r="D457" s="110">
        <v>150</v>
      </c>
      <c r="E457" s="110">
        <v>150</v>
      </c>
      <c r="I457" s="110">
        <v>60</v>
      </c>
      <c r="J457" s="110">
        <v>110</v>
      </c>
    </row>
    <row r="458" spans="1:12" x14ac:dyDescent="0.2">
      <c r="A458" t="s">
        <v>13</v>
      </c>
      <c r="B458" t="s">
        <v>111</v>
      </c>
      <c r="C458" t="s">
        <v>194</v>
      </c>
      <c r="D458" s="110">
        <v>450</v>
      </c>
      <c r="I458" s="110">
        <v>100</v>
      </c>
    </row>
    <row r="459" spans="1:12" x14ac:dyDescent="0.2">
      <c r="A459" s="56" t="s">
        <v>13</v>
      </c>
      <c r="B459" t="s">
        <v>109</v>
      </c>
      <c r="C459" t="s">
        <v>191</v>
      </c>
      <c r="D459" s="110">
        <v>81756</v>
      </c>
      <c r="E459" s="110">
        <v>81756</v>
      </c>
      <c r="F459" s="110">
        <v>80782.5</v>
      </c>
      <c r="G459" s="110">
        <v>80536.5</v>
      </c>
      <c r="I459" s="110">
        <v>21839</v>
      </c>
      <c r="J459" s="110">
        <v>32967</v>
      </c>
      <c r="K459" s="110">
        <v>45724.5</v>
      </c>
      <c r="L459" s="110">
        <v>51188</v>
      </c>
    </row>
    <row r="460" spans="1:12" x14ac:dyDescent="0.2">
      <c r="A460" s="56" t="s">
        <v>13</v>
      </c>
      <c r="B460" t="s">
        <v>109</v>
      </c>
      <c r="C460" t="s">
        <v>192</v>
      </c>
      <c r="D460" s="110">
        <v>117832.5</v>
      </c>
      <c r="E460" s="110">
        <v>117138.5</v>
      </c>
      <c r="F460" s="110">
        <v>116170.5</v>
      </c>
      <c r="I460" s="110">
        <v>20640.5</v>
      </c>
      <c r="J460" s="110">
        <v>41671</v>
      </c>
      <c r="K460" s="110">
        <v>52832.3</v>
      </c>
    </row>
    <row r="461" spans="1:12" x14ac:dyDescent="0.2">
      <c r="A461" s="56" t="s">
        <v>13</v>
      </c>
      <c r="B461" t="s">
        <v>109</v>
      </c>
      <c r="C461" t="s">
        <v>193</v>
      </c>
      <c r="D461" s="110">
        <v>91637.83</v>
      </c>
      <c r="E461" s="110">
        <v>90824.83</v>
      </c>
      <c r="I461" s="110">
        <v>24129.33</v>
      </c>
      <c r="J461" s="110">
        <v>35775.83</v>
      </c>
    </row>
    <row r="462" spans="1:12" x14ac:dyDescent="0.2">
      <c r="A462" s="56" t="s">
        <v>13</v>
      </c>
      <c r="B462" t="s">
        <v>109</v>
      </c>
      <c r="C462" t="s">
        <v>194</v>
      </c>
      <c r="D462" s="110">
        <v>112843.3</v>
      </c>
      <c r="I462" s="110">
        <v>27771.8</v>
      </c>
    </row>
    <row r="463" spans="1:12" x14ac:dyDescent="0.2">
      <c r="A463" s="56" t="s">
        <v>13</v>
      </c>
      <c r="B463" t="s">
        <v>106</v>
      </c>
      <c r="C463" t="s">
        <v>191</v>
      </c>
      <c r="D463" s="110">
        <v>45336.5</v>
      </c>
      <c r="E463" s="110">
        <v>45336.5</v>
      </c>
      <c r="F463" s="110">
        <v>45336.5</v>
      </c>
      <c r="G463" s="110">
        <v>45336.5</v>
      </c>
      <c r="I463" s="110">
        <v>44096.5</v>
      </c>
      <c r="J463" s="110">
        <v>44096.5</v>
      </c>
      <c r="K463" s="110">
        <v>44096.5</v>
      </c>
      <c r="L463" s="110">
        <v>44096.5</v>
      </c>
    </row>
    <row r="464" spans="1:12" x14ac:dyDescent="0.2">
      <c r="A464" s="56" t="s">
        <v>13</v>
      </c>
      <c r="B464" t="s">
        <v>106</v>
      </c>
      <c r="C464" t="s">
        <v>192</v>
      </c>
      <c r="D464" s="110">
        <v>63228.54</v>
      </c>
      <c r="E464" s="110">
        <v>63228.54</v>
      </c>
      <c r="F464" s="110">
        <v>63228.54</v>
      </c>
      <c r="I464" s="110">
        <v>61216.04</v>
      </c>
      <c r="J464" s="110">
        <v>62338.54</v>
      </c>
      <c r="K464" s="110">
        <v>62338.54</v>
      </c>
    </row>
    <row r="465" spans="1:12" x14ac:dyDescent="0.2">
      <c r="A465" s="56" t="s">
        <v>13</v>
      </c>
      <c r="B465" t="s">
        <v>106</v>
      </c>
      <c r="C465" t="s">
        <v>193</v>
      </c>
      <c r="D465" s="110">
        <v>92586</v>
      </c>
      <c r="E465" s="110">
        <v>92238.5</v>
      </c>
      <c r="I465" s="110">
        <v>90311</v>
      </c>
      <c r="J465" s="110">
        <v>91838.5</v>
      </c>
    </row>
    <row r="466" spans="1:12" x14ac:dyDescent="0.2">
      <c r="A466" s="56" t="s">
        <v>13</v>
      </c>
      <c r="B466" t="s">
        <v>106</v>
      </c>
      <c r="C466" t="s">
        <v>194</v>
      </c>
      <c r="D466" s="110">
        <v>62756.5</v>
      </c>
      <c r="I466" s="110">
        <v>60853.5</v>
      </c>
    </row>
    <row r="467" spans="1:12" x14ac:dyDescent="0.2">
      <c r="A467" s="56" t="s">
        <v>13</v>
      </c>
      <c r="B467" t="s">
        <v>107</v>
      </c>
      <c r="C467" t="s">
        <v>191</v>
      </c>
      <c r="D467" s="110">
        <v>97996.64</v>
      </c>
      <c r="E467" s="110">
        <v>97996.64</v>
      </c>
      <c r="F467" s="110">
        <v>97996.64</v>
      </c>
      <c r="G467" s="110">
        <v>97996.64</v>
      </c>
      <c r="I467" s="110">
        <v>96696.639999999999</v>
      </c>
      <c r="J467" s="110">
        <v>97607.64</v>
      </c>
      <c r="K467" s="110">
        <v>97607.64</v>
      </c>
      <c r="L467" s="110">
        <v>97607.64</v>
      </c>
    </row>
    <row r="468" spans="1:12" x14ac:dyDescent="0.2">
      <c r="A468" s="56" t="s">
        <v>13</v>
      </c>
      <c r="B468" t="s">
        <v>107</v>
      </c>
      <c r="C468" t="s">
        <v>192</v>
      </c>
      <c r="D468" s="110">
        <v>83697.259999999995</v>
      </c>
      <c r="E468" s="110">
        <v>83697.259999999995</v>
      </c>
      <c r="F468" s="110">
        <v>83697.259999999995</v>
      </c>
      <c r="I468" s="110">
        <v>80680.13</v>
      </c>
      <c r="J468" s="110">
        <v>83385.259999999995</v>
      </c>
      <c r="K468" s="110">
        <v>83385.259999999995</v>
      </c>
    </row>
    <row r="469" spans="1:12" x14ac:dyDescent="0.2">
      <c r="A469" s="56" t="s">
        <v>13</v>
      </c>
      <c r="B469" t="s">
        <v>107</v>
      </c>
      <c r="C469" t="s">
        <v>193</v>
      </c>
      <c r="D469" s="110">
        <v>107092.5</v>
      </c>
      <c r="E469" s="110">
        <v>106782.5</v>
      </c>
      <c r="I469" s="110">
        <v>106276.5</v>
      </c>
      <c r="J469" s="110">
        <v>106276.5</v>
      </c>
    </row>
    <row r="470" spans="1:12" x14ac:dyDescent="0.2">
      <c r="A470" s="56" t="s">
        <v>13</v>
      </c>
      <c r="B470" t="s">
        <v>107</v>
      </c>
      <c r="C470" t="s">
        <v>194</v>
      </c>
      <c r="D470" s="110">
        <v>103468.57</v>
      </c>
      <c r="I470" s="110">
        <v>101866.7</v>
      </c>
    </row>
    <row r="471" spans="1:12" x14ac:dyDescent="0.2">
      <c r="A471" s="56" t="s">
        <v>13</v>
      </c>
      <c r="B471" t="s">
        <v>108</v>
      </c>
      <c r="C471" t="s">
        <v>191</v>
      </c>
      <c r="D471" s="110">
        <v>14802.21</v>
      </c>
      <c r="E471" s="110">
        <v>14802.21</v>
      </c>
      <c r="F471" s="110">
        <v>14802.21</v>
      </c>
      <c r="G471" s="110">
        <v>14802.21</v>
      </c>
      <c r="I471" s="110">
        <v>14530.21</v>
      </c>
      <c r="J471" s="110">
        <v>14530.21</v>
      </c>
      <c r="K471" s="110">
        <v>14530.21</v>
      </c>
      <c r="L471" s="110">
        <v>14530.21</v>
      </c>
    </row>
    <row r="472" spans="1:12" x14ac:dyDescent="0.2">
      <c r="A472" s="56" t="s">
        <v>13</v>
      </c>
      <c r="B472" t="s">
        <v>108</v>
      </c>
      <c r="C472" t="s">
        <v>192</v>
      </c>
      <c r="D472" s="110">
        <v>17734</v>
      </c>
      <c r="E472" s="110">
        <v>17734</v>
      </c>
      <c r="F472" s="110">
        <v>17734</v>
      </c>
      <c r="I472" s="110">
        <v>17287</v>
      </c>
      <c r="J472" s="110">
        <v>17652</v>
      </c>
      <c r="K472" s="110">
        <v>17652</v>
      </c>
    </row>
    <row r="473" spans="1:12" x14ac:dyDescent="0.2">
      <c r="A473" s="56" t="s">
        <v>13</v>
      </c>
      <c r="B473" t="s">
        <v>108</v>
      </c>
      <c r="C473" t="s">
        <v>193</v>
      </c>
      <c r="D473" s="110">
        <v>18244.5</v>
      </c>
      <c r="E473" s="110">
        <v>18244.5</v>
      </c>
      <c r="I473" s="110">
        <v>18244.5</v>
      </c>
      <c r="J473" s="110">
        <v>18244.5</v>
      </c>
    </row>
    <row r="474" spans="1:12" x14ac:dyDescent="0.2">
      <c r="A474" s="56" t="s">
        <v>13</v>
      </c>
      <c r="B474" t="s">
        <v>108</v>
      </c>
      <c r="C474" t="s">
        <v>194</v>
      </c>
      <c r="D474" s="110">
        <v>18102</v>
      </c>
      <c r="I474" s="110">
        <v>17471</v>
      </c>
    </row>
    <row r="475" spans="1:12" x14ac:dyDescent="0.2">
      <c r="A475" s="56" t="s">
        <v>13</v>
      </c>
      <c r="B475" t="s">
        <v>70</v>
      </c>
      <c r="C475" t="s">
        <v>191</v>
      </c>
      <c r="D475" s="110">
        <v>42193</v>
      </c>
      <c r="E475" s="110">
        <v>41019</v>
      </c>
      <c r="F475" s="110">
        <v>40959</v>
      </c>
      <c r="G475" s="110">
        <v>40959</v>
      </c>
      <c r="I475" s="110">
        <v>39217</v>
      </c>
      <c r="J475" s="110">
        <v>39267</v>
      </c>
      <c r="K475" s="110">
        <v>39267</v>
      </c>
      <c r="L475" s="110">
        <v>39267</v>
      </c>
    </row>
    <row r="476" spans="1:12" x14ac:dyDescent="0.2">
      <c r="A476" s="56" t="s">
        <v>13</v>
      </c>
      <c r="B476" t="s">
        <v>70</v>
      </c>
      <c r="C476" t="s">
        <v>192</v>
      </c>
      <c r="D476" s="110">
        <v>44027</v>
      </c>
      <c r="E476" s="110">
        <v>44027</v>
      </c>
      <c r="F476" s="110">
        <v>44027</v>
      </c>
      <c r="I476" s="110">
        <v>43211</v>
      </c>
      <c r="J476" s="110">
        <v>44027</v>
      </c>
      <c r="K476" s="110">
        <v>44027</v>
      </c>
    </row>
    <row r="477" spans="1:12" x14ac:dyDescent="0.2">
      <c r="A477" s="56" t="s">
        <v>13</v>
      </c>
      <c r="B477" t="s">
        <v>70</v>
      </c>
      <c r="C477" t="s">
        <v>193</v>
      </c>
      <c r="D477" s="110">
        <v>47846</v>
      </c>
      <c r="E477" s="110">
        <v>47446</v>
      </c>
      <c r="I477" s="110">
        <v>44954</v>
      </c>
      <c r="J477" s="110">
        <v>45422</v>
      </c>
    </row>
    <row r="478" spans="1:12" x14ac:dyDescent="0.2">
      <c r="A478" s="56" t="s">
        <v>13</v>
      </c>
      <c r="B478" t="s">
        <v>70</v>
      </c>
      <c r="C478" t="s">
        <v>194</v>
      </c>
      <c r="D478" s="110">
        <v>43475</v>
      </c>
      <c r="I478" s="110">
        <v>41852</v>
      </c>
    </row>
    <row r="479" spans="1:12" x14ac:dyDescent="0.2">
      <c r="A479" s="56" t="s">
        <v>13</v>
      </c>
      <c r="B479" t="s">
        <v>110</v>
      </c>
      <c r="C479" t="s">
        <v>191</v>
      </c>
      <c r="D479" s="110">
        <v>248635</v>
      </c>
      <c r="E479" s="110">
        <v>239643.4</v>
      </c>
      <c r="F479" s="110">
        <v>237589.4</v>
      </c>
      <c r="G479" s="110">
        <v>237495.4</v>
      </c>
      <c r="I479" s="110">
        <v>111243.79</v>
      </c>
      <c r="J479" s="110">
        <v>181386.79</v>
      </c>
      <c r="K479" s="110">
        <v>199943.79</v>
      </c>
      <c r="L479" s="110">
        <v>204736.79</v>
      </c>
    </row>
    <row r="480" spans="1:12" x14ac:dyDescent="0.2">
      <c r="A480" s="56" t="s">
        <v>13</v>
      </c>
      <c r="B480" t="s">
        <v>110</v>
      </c>
      <c r="C480" t="s">
        <v>192</v>
      </c>
      <c r="D480" s="110">
        <v>301621.5</v>
      </c>
      <c r="E480" s="110">
        <v>287125.5</v>
      </c>
      <c r="F480" s="110">
        <v>285533.5</v>
      </c>
      <c r="I480" s="110">
        <v>137603</v>
      </c>
      <c r="J480" s="110">
        <v>228620</v>
      </c>
      <c r="K480" s="110">
        <v>243384</v>
      </c>
    </row>
    <row r="481" spans="1:12" x14ac:dyDescent="0.2">
      <c r="A481" s="56" t="s">
        <v>13</v>
      </c>
      <c r="B481" t="s">
        <v>110</v>
      </c>
      <c r="C481" t="s">
        <v>193</v>
      </c>
      <c r="D481" s="110">
        <v>327293.5</v>
      </c>
      <c r="E481" s="110">
        <v>312001.5</v>
      </c>
      <c r="I481" s="110">
        <v>138202.82999999999</v>
      </c>
      <c r="J481" s="110">
        <v>235142.83</v>
      </c>
    </row>
    <row r="482" spans="1:12" x14ac:dyDescent="0.2">
      <c r="A482" s="56" t="s">
        <v>13</v>
      </c>
      <c r="B482" t="s">
        <v>110</v>
      </c>
      <c r="C482" t="s">
        <v>194</v>
      </c>
      <c r="D482" s="110">
        <v>351366</v>
      </c>
      <c r="I482" s="110">
        <v>145590</v>
      </c>
    </row>
    <row r="483" spans="1:12" x14ac:dyDescent="0.2">
      <c r="A483" s="56" t="s">
        <v>223</v>
      </c>
      <c r="B483" t="s">
        <v>104</v>
      </c>
      <c r="C483" t="s">
        <v>191</v>
      </c>
      <c r="D483" s="110">
        <v>102017</v>
      </c>
      <c r="E483" s="110">
        <v>102567</v>
      </c>
      <c r="F483" s="110">
        <v>103367</v>
      </c>
      <c r="G483" s="110">
        <v>103342</v>
      </c>
      <c r="I483" s="110">
        <v>3511.95</v>
      </c>
      <c r="J483" s="110">
        <v>6349.71</v>
      </c>
      <c r="K483" s="110">
        <v>8303.85</v>
      </c>
      <c r="L483" s="110">
        <v>10365.83</v>
      </c>
    </row>
    <row r="484" spans="1:12" x14ac:dyDescent="0.2">
      <c r="A484" s="56" t="s">
        <v>223</v>
      </c>
      <c r="B484" t="s">
        <v>104</v>
      </c>
      <c r="C484" t="s">
        <v>192</v>
      </c>
      <c r="D484" s="110">
        <v>225516.31</v>
      </c>
      <c r="E484" s="110">
        <v>225516.31</v>
      </c>
      <c r="F484" s="110">
        <v>225416.31</v>
      </c>
      <c r="I484" s="110">
        <v>6799.49</v>
      </c>
      <c r="J484" s="110">
        <v>10561.28</v>
      </c>
      <c r="K484" s="110">
        <v>14584.04</v>
      </c>
    </row>
    <row r="485" spans="1:12" x14ac:dyDescent="0.2">
      <c r="A485" s="56" t="s">
        <v>223</v>
      </c>
      <c r="B485" t="s">
        <v>104</v>
      </c>
      <c r="C485" t="s">
        <v>193</v>
      </c>
      <c r="D485" s="110">
        <v>247672.75</v>
      </c>
      <c r="E485" s="110">
        <v>248672.75</v>
      </c>
      <c r="I485" s="110">
        <v>7044.57</v>
      </c>
      <c r="J485" s="110">
        <v>10727.58</v>
      </c>
    </row>
    <row r="486" spans="1:12" x14ac:dyDescent="0.2">
      <c r="A486" s="56" t="s">
        <v>223</v>
      </c>
      <c r="B486" t="s">
        <v>104</v>
      </c>
      <c r="C486" t="s">
        <v>194</v>
      </c>
      <c r="D486" s="110">
        <v>124473.07</v>
      </c>
      <c r="I486" s="110">
        <v>10358.59</v>
      </c>
    </row>
    <row r="487" spans="1:12" x14ac:dyDescent="0.2">
      <c r="A487" s="56" t="s">
        <v>223</v>
      </c>
      <c r="B487" t="s">
        <v>140</v>
      </c>
      <c r="C487" t="s">
        <v>191</v>
      </c>
    </row>
    <row r="488" spans="1:12" x14ac:dyDescent="0.2">
      <c r="A488" s="56" t="s">
        <v>223</v>
      </c>
      <c r="B488" t="s">
        <v>140</v>
      </c>
      <c r="C488" t="s">
        <v>192</v>
      </c>
    </row>
    <row r="489" spans="1:12" x14ac:dyDescent="0.2">
      <c r="A489" s="56" t="s">
        <v>223</v>
      </c>
      <c r="B489" t="s">
        <v>140</v>
      </c>
      <c r="C489" t="s">
        <v>193</v>
      </c>
    </row>
    <row r="490" spans="1:12" x14ac:dyDescent="0.2">
      <c r="A490" s="56" t="s">
        <v>223</v>
      </c>
      <c r="B490" t="s">
        <v>140</v>
      </c>
      <c r="C490" t="s">
        <v>194</v>
      </c>
    </row>
    <row r="491" spans="1:12" x14ac:dyDescent="0.2">
      <c r="A491" s="56" t="s">
        <v>223</v>
      </c>
      <c r="B491" t="s">
        <v>105</v>
      </c>
      <c r="C491" t="s">
        <v>191</v>
      </c>
      <c r="D491" s="110">
        <v>33193</v>
      </c>
      <c r="E491" s="110">
        <v>33223</v>
      </c>
      <c r="F491" s="110">
        <v>33198</v>
      </c>
      <c r="G491" s="110">
        <v>33198</v>
      </c>
      <c r="I491" s="110">
        <v>3781</v>
      </c>
      <c r="J491" s="110">
        <v>4781</v>
      </c>
      <c r="K491" s="110">
        <v>5476</v>
      </c>
      <c r="L491" s="110">
        <v>6401</v>
      </c>
    </row>
    <row r="492" spans="1:12" x14ac:dyDescent="0.2">
      <c r="A492" s="56" t="s">
        <v>223</v>
      </c>
      <c r="B492" t="s">
        <v>105</v>
      </c>
      <c r="C492" t="s">
        <v>192</v>
      </c>
      <c r="D492" s="110">
        <v>47497</v>
      </c>
      <c r="E492" s="110">
        <v>47497</v>
      </c>
      <c r="F492" s="110">
        <v>47497</v>
      </c>
      <c r="I492" s="110">
        <v>8455</v>
      </c>
      <c r="J492" s="110">
        <v>11602.41</v>
      </c>
      <c r="K492" s="110">
        <v>13304.41</v>
      </c>
    </row>
    <row r="493" spans="1:12" x14ac:dyDescent="0.2">
      <c r="A493" s="56" t="s">
        <v>223</v>
      </c>
      <c r="B493" t="s">
        <v>105</v>
      </c>
      <c r="C493" t="s">
        <v>193</v>
      </c>
      <c r="D493" s="110">
        <v>47214</v>
      </c>
      <c r="E493" s="110">
        <v>47214</v>
      </c>
      <c r="I493" s="110">
        <v>6855</v>
      </c>
      <c r="J493" s="110">
        <v>9640</v>
      </c>
    </row>
    <row r="494" spans="1:12" x14ac:dyDescent="0.2">
      <c r="A494" s="56" t="s">
        <v>223</v>
      </c>
      <c r="B494" t="s">
        <v>105</v>
      </c>
      <c r="C494" t="s">
        <v>194</v>
      </c>
      <c r="D494" s="110">
        <v>29635</v>
      </c>
      <c r="I494" s="110">
        <v>5680</v>
      </c>
    </row>
    <row r="495" spans="1:12" x14ac:dyDescent="0.2">
      <c r="A495" s="56" t="s">
        <v>223</v>
      </c>
      <c r="B495" t="s">
        <v>111</v>
      </c>
      <c r="C495" t="s">
        <v>191</v>
      </c>
      <c r="D495" s="110">
        <v>1107</v>
      </c>
      <c r="E495" s="110">
        <v>1107</v>
      </c>
      <c r="F495" s="110">
        <v>1107</v>
      </c>
      <c r="G495" s="110">
        <v>1107</v>
      </c>
      <c r="I495" s="110">
        <v>42</v>
      </c>
      <c r="J495" s="110">
        <v>42</v>
      </c>
      <c r="K495" s="110">
        <v>42</v>
      </c>
      <c r="L495" s="110">
        <v>52</v>
      </c>
    </row>
    <row r="496" spans="1:12" x14ac:dyDescent="0.2">
      <c r="A496" s="56" t="s">
        <v>223</v>
      </c>
      <c r="B496" t="s">
        <v>111</v>
      </c>
      <c r="C496" t="s">
        <v>192</v>
      </c>
      <c r="D496" s="110">
        <v>3500</v>
      </c>
      <c r="E496" s="110">
        <v>3550</v>
      </c>
      <c r="F496" s="110">
        <v>3550</v>
      </c>
      <c r="I496" s="110">
        <v>40</v>
      </c>
      <c r="J496" s="110">
        <v>115</v>
      </c>
      <c r="K496" s="110">
        <v>115</v>
      </c>
    </row>
    <row r="497" spans="1:12" x14ac:dyDescent="0.2">
      <c r="A497" s="56" t="s">
        <v>223</v>
      </c>
      <c r="B497" t="s">
        <v>111</v>
      </c>
      <c r="C497" t="s">
        <v>193</v>
      </c>
      <c r="D497" s="110">
        <v>9535</v>
      </c>
      <c r="E497" s="110">
        <v>9535</v>
      </c>
      <c r="I497" s="110">
        <v>1141.53</v>
      </c>
      <c r="J497" s="110">
        <v>1905.53</v>
      </c>
    </row>
    <row r="498" spans="1:12" x14ac:dyDescent="0.2">
      <c r="A498" s="56" t="s">
        <v>223</v>
      </c>
      <c r="B498" t="s">
        <v>111</v>
      </c>
      <c r="C498" t="s">
        <v>194</v>
      </c>
      <c r="D498" s="110">
        <v>8763.5</v>
      </c>
      <c r="I498" s="110">
        <v>3.5</v>
      </c>
    </row>
    <row r="499" spans="1:12" x14ac:dyDescent="0.2">
      <c r="A499" s="56" t="s">
        <v>223</v>
      </c>
      <c r="B499" t="s">
        <v>109</v>
      </c>
      <c r="C499" t="s">
        <v>191</v>
      </c>
      <c r="D499" s="110">
        <v>49336</v>
      </c>
      <c r="E499" s="110">
        <v>49336</v>
      </c>
      <c r="F499" s="110">
        <v>49311</v>
      </c>
      <c r="G499" s="110">
        <v>49311</v>
      </c>
      <c r="I499" s="110">
        <v>17612</v>
      </c>
      <c r="J499" s="110">
        <v>24046</v>
      </c>
      <c r="K499" s="110">
        <v>28362</v>
      </c>
      <c r="L499" s="110">
        <v>30923</v>
      </c>
    </row>
    <row r="500" spans="1:12" x14ac:dyDescent="0.2">
      <c r="A500" s="56" t="s">
        <v>223</v>
      </c>
      <c r="B500" t="s">
        <v>109</v>
      </c>
      <c r="C500" t="s">
        <v>192</v>
      </c>
      <c r="D500" s="110">
        <v>50365.75</v>
      </c>
      <c r="E500" s="110">
        <v>50365.75</v>
      </c>
      <c r="F500" s="110">
        <v>50365.75</v>
      </c>
      <c r="I500" s="110">
        <v>19107.25</v>
      </c>
      <c r="J500" s="110">
        <v>23623.25</v>
      </c>
      <c r="K500" s="110">
        <v>24796.25</v>
      </c>
    </row>
    <row r="501" spans="1:12" x14ac:dyDescent="0.2">
      <c r="A501" s="56" t="s">
        <v>223</v>
      </c>
      <c r="B501" t="s">
        <v>109</v>
      </c>
      <c r="C501" t="s">
        <v>193</v>
      </c>
      <c r="D501" s="110">
        <v>43351.5</v>
      </c>
      <c r="E501" s="110">
        <v>43351.5</v>
      </c>
      <c r="I501" s="110">
        <v>16589</v>
      </c>
      <c r="J501" s="110">
        <v>18737</v>
      </c>
    </row>
    <row r="502" spans="1:12" x14ac:dyDescent="0.2">
      <c r="A502" s="56" t="s">
        <v>223</v>
      </c>
      <c r="B502" t="s">
        <v>109</v>
      </c>
      <c r="C502" t="s">
        <v>194</v>
      </c>
      <c r="D502" s="110">
        <v>35836</v>
      </c>
      <c r="I502" s="110">
        <v>15415</v>
      </c>
    </row>
    <row r="503" spans="1:12" x14ac:dyDescent="0.2">
      <c r="A503" s="56" t="s">
        <v>223</v>
      </c>
      <c r="B503" t="s">
        <v>106</v>
      </c>
      <c r="C503" t="s">
        <v>191</v>
      </c>
      <c r="D503" s="110">
        <v>17531</v>
      </c>
      <c r="E503" s="110">
        <v>17531</v>
      </c>
      <c r="F503" s="110">
        <v>17531</v>
      </c>
      <c r="G503" s="110">
        <v>17531</v>
      </c>
      <c r="I503" s="110">
        <v>16261</v>
      </c>
      <c r="J503" s="110">
        <v>16681</v>
      </c>
      <c r="K503" s="110">
        <v>16681</v>
      </c>
      <c r="L503" s="110">
        <v>16681</v>
      </c>
    </row>
    <row r="504" spans="1:12" x14ac:dyDescent="0.2">
      <c r="A504" s="56" t="s">
        <v>223</v>
      </c>
      <c r="B504" t="s">
        <v>106</v>
      </c>
      <c r="C504" t="s">
        <v>192</v>
      </c>
      <c r="D504" s="110">
        <v>25256</v>
      </c>
      <c r="E504" s="110">
        <v>25256</v>
      </c>
      <c r="F504" s="110">
        <v>25256</v>
      </c>
      <c r="I504" s="110">
        <v>24706</v>
      </c>
      <c r="J504" s="110">
        <v>24856</v>
      </c>
      <c r="K504" s="110">
        <v>24856</v>
      </c>
    </row>
    <row r="505" spans="1:12" x14ac:dyDescent="0.2">
      <c r="A505" s="56" t="s">
        <v>223</v>
      </c>
      <c r="B505" t="s">
        <v>106</v>
      </c>
      <c r="C505" t="s">
        <v>193</v>
      </c>
      <c r="D505" s="110">
        <v>34009</v>
      </c>
      <c r="E505" s="110">
        <v>34009</v>
      </c>
      <c r="I505" s="110">
        <v>33159</v>
      </c>
      <c r="J505" s="110">
        <v>33159</v>
      </c>
    </row>
    <row r="506" spans="1:12" x14ac:dyDescent="0.2">
      <c r="A506" s="56" t="s">
        <v>223</v>
      </c>
      <c r="B506" t="s">
        <v>106</v>
      </c>
      <c r="C506" t="s">
        <v>194</v>
      </c>
      <c r="D506" s="110">
        <v>21333.5</v>
      </c>
      <c r="I506" s="110">
        <v>20083.5</v>
      </c>
    </row>
    <row r="507" spans="1:12" x14ac:dyDescent="0.2">
      <c r="A507" s="56" t="s">
        <v>223</v>
      </c>
      <c r="B507" t="s">
        <v>107</v>
      </c>
      <c r="C507" t="s">
        <v>191</v>
      </c>
      <c r="D507" s="110">
        <v>30183.5</v>
      </c>
      <c r="E507" s="110">
        <v>30193.5</v>
      </c>
      <c r="F507" s="110">
        <v>30193.5</v>
      </c>
      <c r="G507" s="110">
        <v>30193.5</v>
      </c>
      <c r="I507" s="110">
        <v>28468.5</v>
      </c>
      <c r="J507" s="110">
        <v>29623.5</v>
      </c>
      <c r="K507" s="110">
        <v>29623.5</v>
      </c>
      <c r="L507" s="110">
        <v>29623.5</v>
      </c>
    </row>
    <row r="508" spans="1:12" x14ac:dyDescent="0.2">
      <c r="A508" s="56" t="s">
        <v>223</v>
      </c>
      <c r="B508" t="s">
        <v>107</v>
      </c>
      <c r="C508" t="s">
        <v>192</v>
      </c>
      <c r="D508" s="110">
        <v>26134.5</v>
      </c>
      <c r="E508" s="110">
        <v>26134.5</v>
      </c>
      <c r="F508" s="110">
        <v>26134.5</v>
      </c>
      <c r="I508" s="110">
        <v>25269.5</v>
      </c>
      <c r="J508" s="110">
        <v>25974.5</v>
      </c>
      <c r="K508" s="110">
        <v>26024.5</v>
      </c>
    </row>
    <row r="509" spans="1:12" x14ac:dyDescent="0.2">
      <c r="A509" s="56" t="s">
        <v>223</v>
      </c>
      <c r="B509" t="s">
        <v>107</v>
      </c>
      <c r="C509" t="s">
        <v>193</v>
      </c>
      <c r="D509" s="110">
        <v>30372</v>
      </c>
      <c r="E509" s="110">
        <v>30372</v>
      </c>
      <c r="I509" s="110">
        <v>29107</v>
      </c>
      <c r="J509" s="110">
        <v>29107</v>
      </c>
    </row>
    <row r="510" spans="1:12" x14ac:dyDescent="0.2">
      <c r="A510" s="56" t="s">
        <v>223</v>
      </c>
      <c r="B510" t="s">
        <v>107</v>
      </c>
      <c r="C510" t="s">
        <v>194</v>
      </c>
      <c r="D510" s="110">
        <v>28801</v>
      </c>
      <c r="I510" s="110">
        <v>28791</v>
      </c>
    </row>
    <row r="511" spans="1:12" x14ac:dyDescent="0.2">
      <c r="A511" s="56" t="s">
        <v>223</v>
      </c>
      <c r="B511" t="s">
        <v>108</v>
      </c>
      <c r="C511" t="s">
        <v>191</v>
      </c>
      <c r="D511" s="110">
        <v>8139</v>
      </c>
      <c r="E511" s="110">
        <v>8139</v>
      </c>
      <c r="F511" s="110">
        <v>8139</v>
      </c>
      <c r="G511" s="110">
        <v>8139</v>
      </c>
      <c r="I511" s="110">
        <v>7739</v>
      </c>
      <c r="J511" s="110">
        <v>7739</v>
      </c>
      <c r="K511" s="110">
        <v>7739</v>
      </c>
      <c r="L511" s="110">
        <v>7739</v>
      </c>
    </row>
    <row r="512" spans="1:12" x14ac:dyDescent="0.2">
      <c r="A512" s="56" t="s">
        <v>223</v>
      </c>
      <c r="B512" t="s">
        <v>108</v>
      </c>
      <c r="C512" t="s">
        <v>192</v>
      </c>
      <c r="D512" s="110">
        <v>11304</v>
      </c>
      <c r="E512" s="110">
        <v>11304</v>
      </c>
      <c r="F512" s="110">
        <v>11304</v>
      </c>
      <c r="I512" s="110">
        <v>10959</v>
      </c>
      <c r="J512" s="110">
        <v>11304</v>
      </c>
      <c r="K512" s="110">
        <v>11304</v>
      </c>
    </row>
    <row r="513" spans="1:12" x14ac:dyDescent="0.2">
      <c r="A513" s="56" t="s">
        <v>223</v>
      </c>
      <c r="B513" t="s">
        <v>108</v>
      </c>
      <c r="C513" t="s">
        <v>193</v>
      </c>
      <c r="D513" s="110">
        <v>12749</v>
      </c>
      <c r="E513" s="110">
        <v>12749</v>
      </c>
      <c r="I513" s="110">
        <v>12118</v>
      </c>
      <c r="J513" s="110">
        <v>12518</v>
      </c>
    </row>
    <row r="514" spans="1:12" x14ac:dyDescent="0.2">
      <c r="A514" s="56" t="s">
        <v>223</v>
      </c>
      <c r="B514" t="s">
        <v>108</v>
      </c>
      <c r="C514" t="s">
        <v>194</v>
      </c>
      <c r="D514" s="110">
        <v>8737</v>
      </c>
      <c r="I514" s="110">
        <v>8737</v>
      </c>
    </row>
    <row r="515" spans="1:12" x14ac:dyDescent="0.2">
      <c r="A515" s="56" t="s">
        <v>223</v>
      </c>
      <c r="B515" t="s">
        <v>70</v>
      </c>
      <c r="C515" t="s">
        <v>191</v>
      </c>
      <c r="D515" s="110">
        <v>16999</v>
      </c>
      <c r="E515" s="110">
        <v>16999</v>
      </c>
      <c r="F515" s="110">
        <v>16999</v>
      </c>
      <c r="G515" s="110">
        <v>16999</v>
      </c>
      <c r="I515" s="110">
        <v>14792</v>
      </c>
      <c r="J515" s="110">
        <v>15392</v>
      </c>
      <c r="K515" s="110">
        <v>15838</v>
      </c>
      <c r="L515" s="110">
        <v>15938</v>
      </c>
    </row>
    <row r="516" spans="1:12" x14ac:dyDescent="0.2">
      <c r="A516" s="56" t="s">
        <v>223</v>
      </c>
      <c r="B516" t="s">
        <v>70</v>
      </c>
      <c r="C516" t="s">
        <v>192</v>
      </c>
      <c r="D516" s="110">
        <v>18935</v>
      </c>
      <c r="E516" s="110">
        <v>18935</v>
      </c>
      <c r="F516" s="110">
        <v>18935</v>
      </c>
      <c r="I516" s="110">
        <v>16570.5</v>
      </c>
      <c r="J516" s="110">
        <v>17276</v>
      </c>
      <c r="K516" s="110">
        <v>17409</v>
      </c>
    </row>
    <row r="517" spans="1:12" x14ac:dyDescent="0.2">
      <c r="A517" s="56" t="s">
        <v>223</v>
      </c>
      <c r="B517" t="s">
        <v>70</v>
      </c>
      <c r="C517" t="s">
        <v>193</v>
      </c>
      <c r="D517" s="110">
        <v>17142</v>
      </c>
      <c r="E517" s="110">
        <v>16734</v>
      </c>
      <c r="I517" s="110">
        <v>12138</v>
      </c>
      <c r="J517" s="110">
        <v>12871</v>
      </c>
    </row>
    <row r="518" spans="1:12" x14ac:dyDescent="0.2">
      <c r="A518" s="56" t="s">
        <v>223</v>
      </c>
      <c r="B518" t="s">
        <v>70</v>
      </c>
      <c r="C518" t="s">
        <v>194</v>
      </c>
      <c r="D518" s="110">
        <v>20598</v>
      </c>
      <c r="I518" s="110">
        <v>16228.5</v>
      </c>
    </row>
    <row r="519" spans="1:12" x14ac:dyDescent="0.2">
      <c r="A519" s="56" t="s">
        <v>223</v>
      </c>
      <c r="B519" t="s">
        <v>110</v>
      </c>
      <c r="C519" t="s">
        <v>191</v>
      </c>
      <c r="D519" s="110">
        <v>106025.25</v>
      </c>
      <c r="E519" s="110">
        <v>103475.75</v>
      </c>
      <c r="F519" s="110">
        <v>102188.25</v>
      </c>
      <c r="G519" s="110">
        <v>101862.25</v>
      </c>
      <c r="I519" s="110">
        <v>42404</v>
      </c>
      <c r="J519" s="110">
        <v>84331.75</v>
      </c>
      <c r="K519" s="110">
        <v>93212.25</v>
      </c>
      <c r="L519" s="110">
        <v>94650.25</v>
      </c>
    </row>
    <row r="520" spans="1:12" x14ac:dyDescent="0.2">
      <c r="A520" s="56" t="s">
        <v>223</v>
      </c>
      <c r="B520" t="s">
        <v>110</v>
      </c>
      <c r="C520" t="s">
        <v>192</v>
      </c>
      <c r="D520" s="110">
        <v>95230</v>
      </c>
      <c r="E520" s="110">
        <v>94180.75</v>
      </c>
      <c r="F520" s="110">
        <v>94180.75</v>
      </c>
      <c r="I520" s="110">
        <v>49258.5</v>
      </c>
      <c r="J520" s="110">
        <v>77830</v>
      </c>
      <c r="K520" s="110">
        <v>81879.25</v>
      </c>
    </row>
    <row r="521" spans="1:12" x14ac:dyDescent="0.2">
      <c r="A521" s="56" t="s">
        <v>223</v>
      </c>
      <c r="B521" t="s">
        <v>110</v>
      </c>
      <c r="C521" t="s">
        <v>193</v>
      </c>
      <c r="D521" s="110">
        <v>97978.75</v>
      </c>
      <c r="E521" s="110">
        <v>96624</v>
      </c>
      <c r="I521" s="110">
        <v>46732.75</v>
      </c>
      <c r="J521" s="110">
        <v>75972</v>
      </c>
    </row>
    <row r="522" spans="1:12" x14ac:dyDescent="0.2">
      <c r="A522" s="56" t="s">
        <v>223</v>
      </c>
      <c r="B522" t="s">
        <v>110</v>
      </c>
      <c r="C522" t="s">
        <v>194</v>
      </c>
      <c r="D522" s="110">
        <v>151642.75</v>
      </c>
      <c r="I522" s="110">
        <v>65181.75</v>
      </c>
    </row>
    <row r="523" spans="1:12" x14ac:dyDescent="0.2">
      <c r="A523" t="s">
        <v>15</v>
      </c>
      <c r="B523" t="s">
        <v>104</v>
      </c>
      <c r="C523" t="s">
        <v>191</v>
      </c>
      <c r="D523" s="110">
        <v>84633</v>
      </c>
      <c r="E523" s="110">
        <v>115168</v>
      </c>
      <c r="F523" s="110">
        <v>137268</v>
      </c>
      <c r="G523" s="110">
        <v>154529</v>
      </c>
      <c r="I523" s="110">
        <v>3875</v>
      </c>
      <c r="J523" s="110">
        <v>5130</v>
      </c>
      <c r="K523" s="110">
        <v>5430</v>
      </c>
      <c r="L523" s="110">
        <v>5491</v>
      </c>
    </row>
    <row r="524" spans="1:12" x14ac:dyDescent="0.2">
      <c r="A524" t="s">
        <v>15</v>
      </c>
      <c r="B524" t="s">
        <v>104</v>
      </c>
      <c r="C524" t="s">
        <v>192</v>
      </c>
      <c r="D524" s="110">
        <v>30535</v>
      </c>
      <c r="E524" s="110">
        <v>52635</v>
      </c>
      <c r="F524" s="110">
        <v>69896</v>
      </c>
      <c r="I524" s="110">
        <v>1105</v>
      </c>
      <c r="J524" s="110">
        <v>1405</v>
      </c>
      <c r="K524" s="110">
        <v>1466</v>
      </c>
    </row>
    <row r="525" spans="1:12" x14ac:dyDescent="0.2">
      <c r="A525" t="s">
        <v>15</v>
      </c>
      <c r="B525" t="s">
        <v>104</v>
      </c>
      <c r="C525" t="s">
        <v>193</v>
      </c>
      <c r="D525" s="110">
        <v>22100</v>
      </c>
      <c r="E525" s="110">
        <v>40301</v>
      </c>
      <c r="I525" s="110">
        <v>150</v>
      </c>
      <c r="J525" s="110">
        <v>211</v>
      </c>
    </row>
    <row r="526" spans="1:12" x14ac:dyDescent="0.2">
      <c r="A526" t="s">
        <v>15</v>
      </c>
      <c r="B526" t="s">
        <v>104</v>
      </c>
      <c r="C526" t="s">
        <v>194</v>
      </c>
      <c r="D526" s="110">
        <v>18201</v>
      </c>
      <c r="I526" s="110">
        <v>61</v>
      </c>
    </row>
    <row r="527" spans="1:12" x14ac:dyDescent="0.2">
      <c r="A527" t="s">
        <v>15</v>
      </c>
      <c r="B527" t="s">
        <v>140</v>
      </c>
      <c r="C527" t="s">
        <v>191</v>
      </c>
    </row>
    <row r="528" spans="1:12" x14ac:dyDescent="0.2">
      <c r="A528" t="s">
        <v>15</v>
      </c>
      <c r="B528" t="s">
        <v>140</v>
      </c>
      <c r="C528" t="s">
        <v>192</v>
      </c>
    </row>
    <row r="529" spans="1:12" x14ac:dyDescent="0.2">
      <c r="A529" t="s">
        <v>15</v>
      </c>
      <c r="B529" t="s">
        <v>140</v>
      </c>
      <c r="C529" t="s">
        <v>193</v>
      </c>
    </row>
    <row r="530" spans="1:12" x14ac:dyDescent="0.2">
      <c r="A530" t="s">
        <v>15</v>
      </c>
      <c r="B530" t="s">
        <v>140</v>
      </c>
      <c r="C530" t="s">
        <v>194</v>
      </c>
    </row>
    <row r="531" spans="1:12" x14ac:dyDescent="0.2">
      <c r="A531" t="s">
        <v>15</v>
      </c>
      <c r="B531" t="s">
        <v>105</v>
      </c>
      <c r="C531" t="s">
        <v>191</v>
      </c>
      <c r="D531" s="110">
        <v>13368</v>
      </c>
      <c r="E531" s="110">
        <v>35261</v>
      </c>
      <c r="F531" s="110">
        <v>54379</v>
      </c>
      <c r="G531" s="110">
        <v>74085</v>
      </c>
      <c r="I531" s="110">
        <v>2125</v>
      </c>
      <c r="J531" s="110">
        <v>10304</v>
      </c>
      <c r="K531" s="110">
        <v>16825</v>
      </c>
      <c r="L531" s="110">
        <v>22017</v>
      </c>
    </row>
    <row r="532" spans="1:12" x14ac:dyDescent="0.2">
      <c r="A532" t="s">
        <v>15</v>
      </c>
      <c r="B532" t="s">
        <v>105</v>
      </c>
      <c r="C532" t="s">
        <v>192</v>
      </c>
      <c r="D532" s="110">
        <v>21893</v>
      </c>
      <c r="E532" s="110">
        <v>41431</v>
      </c>
      <c r="F532" s="110">
        <v>61137</v>
      </c>
      <c r="I532" s="110">
        <v>5989</v>
      </c>
      <c r="J532" s="110">
        <v>11445</v>
      </c>
      <c r="K532" s="110">
        <v>16217</v>
      </c>
    </row>
    <row r="533" spans="1:12" x14ac:dyDescent="0.2">
      <c r="A533" t="s">
        <v>15</v>
      </c>
      <c r="B533" t="s">
        <v>105</v>
      </c>
      <c r="C533" t="s">
        <v>193</v>
      </c>
      <c r="D533" s="110">
        <v>19538</v>
      </c>
      <c r="E533" s="110">
        <v>39245</v>
      </c>
      <c r="I533" s="110">
        <v>2690</v>
      </c>
      <c r="J533" s="110">
        <v>6601</v>
      </c>
    </row>
    <row r="534" spans="1:12" x14ac:dyDescent="0.2">
      <c r="A534" t="s">
        <v>15</v>
      </c>
      <c r="B534" t="s">
        <v>105</v>
      </c>
      <c r="C534" t="s">
        <v>194</v>
      </c>
      <c r="D534" s="110">
        <v>19607</v>
      </c>
      <c r="I534" s="110">
        <v>2208</v>
      </c>
    </row>
    <row r="535" spans="1:12" x14ac:dyDescent="0.2">
      <c r="A535" t="s">
        <v>15</v>
      </c>
      <c r="B535" t="s">
        <v>111</v>
      </c>
      <c r="C535" t="s">
        <v>191</v>
      </c>
      <c r="D535" s="110">
        <v>3485</v>
      </c>
      <c r="E535" s="110">
        <v>3585</v>
      </c>
      <c r="F535" s="110">
        <v>6851</v>
      </c>
      <c r="G535" s="110">
        <v>7856</v>
      </c>
      <c r="J535" s="110">
        <v>100</v>
      </c>
      <c r="K535" s="110">
        <v>100</v>
      </c>
      <c r="L535" s="110">
        <v>368</v>
      </c>
    </row>
    <row r="536" spans="1:12" x14ac:dyDescent="0.2">
      <c r="A536" t="s">
        <v>15</v>
      </c>
      <c r="B536" t="s">
        <v>111</v>
      </c>
      <c r="C536" t="s">
        <v>192</v>
      </c>
      <c r="D536" s="110">
        <v>100</v>
      </c>
      <c r="E536" s="110">
        <v>3366</v>
      </c>
      <c r="F536" s="110">
        <v>4371</v>
      </c>
      <c r="I536" s="110">
        <v>100</v>
      </c>
      <c r="J536" s="110">
        <v>100</v>
      </c>
      <c r="K536" s="110">
        <v>368</v>
      </c>
    </row>
    <row r="537" spans="1:12" x14ac:dyDescent="0.2">
      <c r="A537" t="s">
        <v>15</v>
      </c>
      <c r="B537" t="s">
        <v>111</v>
      </c>
      <c r="C537" t="s">
        <v>193</v>
      </c>
      <c r="D537" s="110">
        <v>3266</v>
      </c>
      <c r="E537" s="110">
        <v>4271</v>
      </c>
      <c r="J537" s="110">
        <v>268</v>
      </c>
    </row>
    <row r="538" spans="1:12" x14ac:dyDescent="0.2">
      <c r="A538" t="s">
        <v>15</v>
      </c>
      <c r="B538" t="s">
        <v>111</v>
      </c>
      <c r="C538" t="s">
        <v>194</v>
      </c>
      <c r="D538" s="110">
        <v>1005</v>
      </c>
    </row>
    <row r="539" spans="1:12" x14ac:dyDescent="0.2">
      <c r="A539" t="s">
        <v>15</v>
      </c>
      <c r="B539" t="s">
        <v>109</v>
      </c>
      <c r="C539" t="s">
        <v>191</v>
      </c>
      <c r="D539" s="110">
        <v>5040</v>
      </c>
      <c r="E539" s="110">
        <v>24390</v>
      </c>
      <c r="F539" s="110">
        <v>35311</v>
      </c>
      <c r="G539" s="110">
        <v>46577</v>
      </c>
      <c r="I539" s="110">
        <v>1302</v>
      </c>
      <c r="J539" s="110">
        <v>8901</v>
      </c>
      <c r="K539" s="110">
        <v>10795</v>
      </c>
      <c r="L539" s="110">
        <v>17386</v>
      </c>
    </row>
    <row r="540" spans="1:12" x14ac:dyDescent="0.2">
      <c r="A540" t="s">
        <v>15</v>
      </c>
      <c r="B540" t="s">
        <v>109</v>
      </c>
      <c r="C540" t="s">
        <v>192</v>
      </c>
      <c r="D540" s="110">
        <v>19350</v>
      </c>
      <c r="E540" s="110">
        <v>30271</v>
      </c>
      <c r="F540" s="110">
        <v>41537</v>
      </c>
      <c r="I540" s="110">
        <v>7599</v>
      </c>
      <c r="J540" s="110">
        <v>8983</v>
      </c>
      <c r="K540" s="110">
        <v>15574</v>
      </c>
    </row>
    <row r="541" spans="1:12" x14ac:dyDescent="0.2">
      <c r="A541" t="s">
        <v>15</v>
      </c>
      <c r="B541" t="s">
        <v>109</v>
      </c>
      <c r="C541" t="s">
        <v>193</v>
      </c>
      <c r="D541" s="110">
        <v>10921</v>
      </c>
      <c r="E541" s="110">
        <v>22188</v>
      </c>
      <c r="I541" s="110">
        <v>868</v>
      </c>
      <c r="J541" s="110">
        <v>4888</v>
      </c>
    </row>
    <row r="542" spans="1:12" x14ac:dyDescent="0.2">
      <c r="A542" t="s">
        <v>15</v>
      </c>
      <c r="B542" t="s">
        <v>109</v>
      </c>
      <c r="C542" t="s">
        <v>194</v>
      </c>
      <c r="D542" s="110">
        <v>11266</v>
      </c>
      <c r="I542" s="110">
        <v>1815</v>
      </c>
    </row>
    <row r="543" spans="1:12" x14ac:dyDescent="0.2">
      <c r="A543" t="s">
        <v>15</v>
      </c>
      <c r="B543" t="s">
        <v>106</v>
      </c>
      <c r="C543" t="s">
        <v>191</v>
      </c>
      <c r="D543" s="110">
        <v>10572</v>
      </c>
      <c r="E543" s="110">
        <v>17990</v>
      </c>
      <c r="F543" s="110">
        <v>28745</v>
      </c>
      <c r="G543" s="110">
        <v>41289</v>
      </c>
      <c r="I543" s="110">
        <v>10572</v>
      </c>
      <c r="J543" s="110">
        <v>17990</v>
      </c>
      <c r="K543" s="110">
        <v>28745</v>
      </c>
      <c r="L543" s="110">
        <v>41289</v>
      </c>
    </row>
    <row r="544" spans="1:12" x14ac:dyDescent="0.2">
      <c r="A544" t="s">
        <v>15</v>
      </c>
      <c r="B544" t="s">
        <v>106</v>
      </c>
      <c r="C544" t="s">
        <v>192</v>
      </c>
      <c r="D544" s="110">
        <v>7419</v>
      </c>
      <c r="E544" s="110">
        <v>18172</v>
      </c>
      <c r="F544" s="110">
        <v>30717</v>
      </c>
      <c r="I544" s="110">
        <v>7419</v>
      </c>
      <c r="J544" s="110">
        <v>18172</v>
      </c>
      <c r="K544" s="110">
        <v>30717</v>
      </c>
    </row>
    <row r="545" spans="1:12" x14ac:dyDescent="0.2">
      <c r="A545" t="s">
        <v>15</v>
      </c>
      <c r="B545" t="s">
        <v>106</v>
      </c>
      <c r="C545" t="s">
        <v>193</v>
      </c>
      <c r="D545" s="110">
        <v>10295</v>
      </c>
      <c r="E545" s="110">
        <v>22839</v>
      </c>
      <c r="I545" s="110">
        <v>10295</v>
      </c>
      <c r="J545" s="110">
        <v>22839</v>
      </c>
    </row>
    <row r="546" spans="1:12" x14ac:dyDescent="0.2">
      <c r="A546" t="s">
        <v>15</v>
      </c>
      <c r="B546" t="s">
        <v>106</v>
      </c>
      <c r="C546" t="s">
        <v>194</v>
      </c>
      <c r="D546" s="110">
        <v>11599</v>
      </c>
      <c r="I546" s="110">
        <v>11599</v>
      </c>
    </row>
    <row r="547" spans="1:12" x14ac:dyDescent="0.2">
      <c r="A547" t="s">
        <v>15</v>
      </c>
      <c r="B547" t="s">
        <v>107</v>
      </c>
      <c r="C547" t="s">
        <v>191</v>
      </c>
      <c r="D547" s="110">
        <v>14616</v>
      </c>
      <c r="E547" s="110">
        <v>30421</v>
      </c>
      <c r="F547" s="110">
        <v>50392</v>
      </c>
      <c r="G547" s="110">
        <v>65632</v>
      </c>
      <c r="I547" s="110">
        <v>14616</v>
      </c>
      <c r="J547" s="110">
        <v>30421</v>
      </c>
      <c r="K547" s="110">
        <v>50392</v>
      </c>
      <c r="L547" s="110">
        <v>65632</v>
      </c>
    </row>
    <row r="548" spans="1:12" x14ac:dyDescent="0.2">
      <c r="A548" t="s">
        <v>15</v>
      </c>
      <c r="B548" t="s">
        <v>107</v>
      </c>
      <c r="C548" t="s">
        <v>192</v>
      </c>
      <c r="D548" s="110">
        <v>15310</v>
      </c>
      <c r="E548" s="110">
        <v>35280</v>
      </c>
      <c r="F548" s="110">
        <v>50520</v>
      </c>
      <c r="I548" s="110">
        <v>15310</v>
      </c>
      <c r="J548" s="110">
        <v>35280</v>
      </c>
      <c r="K548" s="110">
        <v>50520</v>
      </c>
    </row>
    <row r="549" spans="1:12" x14ac:dyDescent="0.2">
      <c r="A549" t="s">
        <v>15</v>
      </c>
      <c r="B549" t="s">
        <v>107</v>
      </c>
      <c r="C549" t="s">
        <v>193</v>
      </c>
      <c r="D549" s="110">
        <v>18610</v>
      </c>
      <c r="E549" s="110">
        <v>33850</v>
      </c>
      <c r="I549" s="110">
        <v>18610</v>
      </c>
      <c r="J549" s="110">
        <v>33850</v>
      </c>
    </row>
    <row r="550" spans="1:12" x14ac:dyDescent="0.2">
      <c r="A550" t="s">
        <v>15</v>
      </c>
      <c r="B550" t="s">
        <v>107</v>
      </c>
      <c r="C550" t="s">
        <v>194</v>
      </c>
      <c r="D550" s="110">
        <v>15220</v>
      </c>
      <c r="I550" s="110">
        <v>15220</v>
      </c>
    </row>
    <row r="551" spans="1:12" x14ac:dyDescent="0.2">
      <c r="A551" t="s">
        <v>15</v>
      </c>
      <c r="B551" t="s">
        <v>108</v>
      </c>
      <c r="C551" t="s">
        <v>191</v>
      </c>
      <c r="D551" s="110">
        <v>6046</v>
      </c>
      <c r="E551" s="110">
        <v>13014</v>
      </c>
      <c r="F551" s="110">
        <v>17929</v>
      </c>
      <c r="G551" s="110">
        <v>22108</v>
      </c>
      <c r="I551" s="110">
        <v>6046</v>
      </c>
      <c r="J551" s="110">
        <v>13014</v>
      </c>
      <c r="K551" s="110">
        <v>17929</v>
      </c>
      <c r="L551" s="110">
        <v>22108</v>
      </c>
    </row>
    <row r="552" spans="1:12" x14ac:dyDescent="0.2">
      <c r="A552" t="s">
        <v>15</v>
      </c>
      <c r="B552" t="s">
        <v>108</v>
      </c>
      <c r="C552" t="s">
        <v>192</v>
      </c>
      <c r="D552" s="110">
        <v>6968</v>
      </c>
      <c r="E552" s="110">
        <v>11883</v>
      </c>
      <c r="F552" s="110">
        <v>16062</v>
      </c>
      <c r="I552" s="110">
        <v>6968</v>
      </c>
      <c r="J552" s="110">
        <v>11883</v>
      </c>
      <c r="K552" s="110">
        <v>16062</v>
      </c>
    </row>
    <row r="553" spans="1:12" x14ac:dyDescent="0.2">
      <c r="A553" t="s">
        <v>15</v>
      </c>
      <c r="B553" t="s">
        <v>108</v>
      </c>
      <c r="C553" t="s">
        <v>193</v>
      </c>
      <c r="D553" s="110">
        <v>4684</v>
      </c>
      <c r="E553" s="110">
        <v>8863</v>
      </c>
      <c r="I553" s="110">
        <v>4684</v>
      </c>
      <c r="J553" s="110">
        <v>8863</v>
      </c>
    </row>
    <row r="554" spans="1:12" x14ac:dyDescent="0.2">
      <c r="A554" t="s">
        <v>15</v>
      </c>
      <c r="B554" t="s">
        <v>108</v>
      </c>
      <c r="C554" t="s">
        <v>194</v>
      </c>
      <c r="D554" s="110">
        <v>4179</v>
      </c>
      <c r="I554" s="110">
        <v>4179</v>
      </c>
    </row>
    <row r="555" spans="1:12" x14ac:dyDescent="0.2">
      <c r="A555" t="s">
        <v>15</v>
      </c>
      <c r="B555" t="s">
        <v>70</v>
      </c>
      <c r="C555" t="s">
        <v>191</v>
      </c>
      <c r="D555" s="110">
        <v>8833</v>
      </c>
      <c r="E555" s="110">
        <v>18427</v>
      </c>
      <c r="F555" s="110">
        <v>30366</v>
      </c>
      <c r="G555" s="110">
        <v>43304</v>
      </c>
      <c r="I555" s="110">
        <v>8833</v>
      </c>
      <c r="J555" s="110">
        <v>18427</v>
      </c>
      <c r="K555" s="110">
        <v>30366</v>
      </c>
      <c r="L555" s="110">
        <v>43304</v>
      </c>
    </row>
    <row r="556" spans="1:12" x14ac:dyDescent="0.2">
      <c r="A556" t="s">
        <v>15</v>
      </c>
      <c r="B556" t="s">
        <v>70</v>
      </c>
      <c r="C556" t="s">
        <v>192</v>
      </c>
      <c r="D556" s="110">
        <v>8714</v>
      </c>
      <c r="E556" s="110">
        <v>20342</v>
      </c>
      <c r="F556" s="110">
        <v>33137</v>
      </c>
      <c r="I556" s="110">
        <v>8714</v>
      </c>
      <c r="J556" s="110">
        <v>20342</v>
      </c>
      <c r="K556" s="110">
        <v>33137</v>
      </c>
    </row>
    <row r="557" spans="1:12" x14ac:dyDescent="0.2">
      <c r="A557" t="s">
        <v>15</v>
      </c>
      <c r="B557" t="s">
        <v>70</v>
      </c>
      <c r="C557" t="s">
        <v>193</v>
      </c>
      <c r="D557" s="110">
        <v>11377</v>
      </c>
      <c r="E557" s="110">
        <v>24062</v>
      </c>
      <c r="I557" s="110">
        <v>11377</v>
      </c>
      <c r="J557" s="110">
        <v>24062</v>
      </c>
    </row>
    <row r="558" spans="1:12" x14ac:dyDescent="0.2">
      <c r="A558" t="s">
        <v>15</v>
      </c>
      <c r="B558" t="s">
        <v>70</v>
      </c>
      <c r="C558" t="s">
        <v>194</v>
      </c>
      <c r="D558" s="110">
        <v>12401</v>
      </c>
      <c r="I558" s="110">
        <v>12401</v>
      </c>
    </row>
    <row r="559" spans="1:12" x14ac:dyDescent="0.2">
      <c r="A559" t="s">
        <v>15</v>
      </c>
      <c r="B559" t="s">
        <v>110</v>
      </c>
      <c r="C559" t="s">
        <v>191</v>
      </c>
      <c r="D559" s="110">
        <v>38759</v>
      </c>
      <c r="E559" s="110">
        <v>75365</v>
      </c>
      <c r="F559" s="110">
        <v>103824</v>
      </c>
      <c r="G559" s="110">
        <v>142047</v>
      </c>
      <c r="I559" s="110">
        <v>17383</v>
      </c>
      <c r="J559" s="110">
        <v>45167</v>
      </c>
      <c r="K559" s="110">
        <v>66539</v>
      </c>
      <c r="L559" s="110">
        <v>94429</v>
      </c>
    </row>
    <row r="560" spans="1:12" x14ac:dyDescent="0.2">
      <c r="A560" t="s">
        <v>15</v>
      </c>
      <c r="B560" t="s">
        <v>110</v>
      </c>
      <c r="C560" t="s">
        <v>192</v>
      </c>
      <c r="D560" s="110">
        <v>37242</v>
      </c>
      <c r="E560" s="110">
        <v>66098</v>
      </c>
      <c r="F560" s="110">
        <v>104523</v>
      </c>
      <c r="I560" s="110">
        <v>16015</v>
      </c>
      <c r="J560" s="110">
        <v>35677</v>
      </c>
      <c r="K560" s="110">
        <v>62783</v>
      </c>
    </row>
    <row r="561" spans="1:12" x14ac:dyDescent="0.2">
      <c r="A561" t="s">
        <v>15</v>
      </c>
      <c r="B561" t="s">
        <v>110</v>
      </c>
      <c r="C561" t="s">
        <v>193</v>
      </c>
      <c r="D561" s="110">
        <v>29534</v>
      </c>
      <c r="E561" s="110">
        <v>68527</v>
      </c>
      <c r="I561" s="110">
        <v>11103</v>
      </c>
      <c r="J561" s="110">
        <v>35458</v>
      </c>
    </row>
    <row r="562" spans="1:12" x14ac:dyDescent="0.2">
      <c r="A562" t="s">
        <v>15</v>
      </c>
      <c r="B562" t="s">
        <v>110</v>
      </c>
      <c r="C562" t="s">
        <v>194</v>
      </c>
      <c r="D562" s="110">
        <v>40501</v>
      </c>
      <c r="I562" s="110">
        <v>15774</v>
      </c>
    </row>
    <row r="563" spans="1:12" x14ac:dyDescent="0.2">
      <c r="A563" t="s">
        <v>16</v>
      </c>
      <c r="B563" t="s">
        <v>104</v>
      </c>
      <c r="C563" t="s">
        <v>191</v>
      </c>
      <c r="D563" s="110">
        <v>1808795.23</v>
      </c>
      <c r="E563" s="110">
        <v>1796410.23</v>
      </c>
      <c r="F563" s="110">
        <v>1794860.23</v>
      </c>
      <c r="G563" s="110">
        <v>1793545.41</v>
      </c>
      <c r="I563" s="110">
        <v>26781.360000000001</v>
      </c>
      <c r="J563" s="110">
        <v>52748.2</v>
      </c>
      <c r="K563" s="110">
        <v>72492.210000000006</v>
      </c>
      <c r="L563" s="110">
        <v>92692.41</v>
      </c>
    </row>
    <row r="564" spans="1:12" x14ac:dyDescent="0.2">
      <c r="A564" t="s">
        <v>16</v>
      </c>
      <c r="B564" t="s">
        <v>104</v>
      </c>
      <c r="C564" t="s">
        <v>192</v>
      </c>
      <c r="D564" s="110">
        <v>2725624.94</v>
      </c>
      <c r="E564" s="110">
        <v>2713126.94</v>
      </c>
      <c r="F564" s="110">
        <v>2710136.94</v>
      </c>
      <c r="I564" s="110">
        <v>29095.72</v>
      </c>
      <c r="J564" s="110">
        <v>56238.23</v>
      </c>
      <c r="K564" s="110">
        <v>77639.710000000006</v>
      </c>
    </row>
    <row r="565" spans="1:12" x14ac:dyDescent="0.2">
      <c r="A565" t="s">
        <v>16</v>
      </c>
      <c r="B565" t="s">
        <v>104</v>
      </c>
      <c r="C565" t="s">
        <v>193</v>
      </c>
      <c r="D565" s="110">
        <v>2010837.99</v>
      </c>
      <c r="E565" s="110">
        <v>1945089.61</v>
      </c>
      <c r="I565" s="110">
        <v>24810.38</v>
      </c>
      <c r="J565" s="110">
        <v>51429.68</v>
      </c>
    </row>
    <row r="566" spans="1:12" x14ac:dyDescent="0.2">
      <c r="A566" t="s">
        <v>16</v>
      </c>
      <c r="B566" t="s">
        <v>104</v>
      </c>
      <c r="C566" t="s">
        <v>194</v>
      </c>
      <c r="D566" s="110">
        <v>3134322.44</v>
      </c>
      <c r="I566" s="110">
        <v>27383.83</v>
      </c>
    </row>
    <row r="567" spans="1:12" x14ac:dyDescent="0.2">
      <c r="A567" t="s">
        <v>16</v>
      </c>
      <c r="B567" t="s">
        <v>140</v>
      </c>
      <c r="C567" t="s">
        <v>191</v>
      </c>
      <c r="D567" s="110">
        <v>746804.96</v>
      </c>
      <c r="E567" s="110">
        <v>746804.96</v>
      </c>
      <c r="F567" s="110">
        <v>747004.96</v>
      </c>
      <c r="G567" s="110">
        <v>747068.96</v>
      </c>
      <c r="I567" s="110">
        <v>753.92</v>
      </c>
      <c r="J567" s="110">
        <v>817.92</v>
      </c>
      <c r="K567" s="110">
        <v>1049.8399999999999</v>
      </c>
      <c r="L567" s="110">
        <v>1820.26</v>
      </c>
    </row>
    <row r="568" spans="1:12" x14ac:dyDescent="0.2">
      <c r="A568" t="s">
        <v>16</v>
      </c>
      <c r="B568" t="s">
        <v>140</v>
      </c>
      <c r="C568" t="s">
        <v>192</v>
      </c>
      <c r="D568" s="110">
        <v>1583400</v>
      </c>
      <c r="E568" s="110">
        <v>1583500</v>
      </c>
      <c r="F568" s="110">
        <v>1583650</v>
      </c>
      <c r="I568" s="110">
        <v>244.62</v>
      </c>
      <c r="J568" s="110">
        <v>360.02</v>
      </c>
      <c r="K568" s="110">
        <v>1211.96</v>
      </c>
    </row>
    <row r="569" spans="1:12" x14ac:dyDescent="0.2">
      <c r="A569" t="s">
        <v>16</v>
      </c>
      <c r="B569" t="s">
        <v>140</v>
      </c>
      <c r="C569" t="s">
        <v>193</v>
      </c>
      <c r="D569" s="110">
        <v>795667.97</v>
      </c>
      <c r="E569" s="110">
        <v>742499.97</v>
      </c>
      <c r="I569" s="110">
        <v>739.94</v>
      </c>
      <c r="J569" s="110">
        <v>745.94</v>
      </c>
    </row>
    <row r="570" spans="1:12" x14ac:dyDescent="0.2">
      <c r="A570" t="s">
        <v>16</v>
      </c>
      <c r="B570" t="s">
        <v>140</v>
      </c>
      <c r="C570" t="s">
        <v>194</v>
      </c>
      <c r="D570" s="110">
        <v>1905801.01</v>
      </c>
      <c r="I570" s="110">
        <v>974.86</v>
      </c>
    </row>
    <row r="571" spans="1:12" x14ac:dyDescent="0.2">
      <c r="A571" t="s">
        <v>16</v>
      </c>
      <c r="B571" t="s">
        <v>105</v>
      </c>
      <c r="C571" t="s">
        <v>191</v>
      </c>
      <c r="D571" s="110">
        <v>1011752.83</v>
      </c>
      <c r="E571" s="110">
        <v>1000684.29</v>
      </c>
      <c r="F571" s="110">
        <v>995444.04</v>
      </c>
      <c r="G571" s="110">
        <v>993053.13</v>
      </c>
      <c r="I571" s="110">
        <v>89573.29</v>
      </c>
      <c r="J571" s="110">
        <v>187824.97</v>
      </c>
      <c r="K571" s="110">
        <v>233035.76</v>
      </c>
      <c r="L571" s="110">
        <v>256288.23</v>
      </c>
    </row>
    <row r="572" spans="1:12" x14ac:dyDescent="0.2">
      <c r="A572" t="s">
        <v>16</v>
      </c>
      <c r="B572" t="s">
        <v>105</v>
      </c>
      <c r="C572" t="s">
        <v>192</v>
      </c>
      <c r="D572" s="110">
        <v>1077753.79</v>
      </c>
      <c r="E572" s="110">
        <v>1068972.79</v>
      </c>
      <c r="F572" s="110">
        <v>1065613.7</v>
      </c>
      <c r="I572" s="110">
        <v>82297.539999999994</v>
      </c>
      <c r="J572" s="110">
        <v>174369.42</v>
      </c>
      <c r="K572" s="110">
        <v>213792.16</v>
      </c>
    </row>
    <row r="573" spans="1:12" x14ac:dyDescent="0.2">
      <c r="A573" t="s">
        <v>16</v>
      </c>
      <c r="B573" t="s">
        <v>105</v>
      </c>
      <c r="C573" t="s">
        <v>193</v>
      </c>
      <c r="D573" s="110">
        <v>1164053.74</v>
      </c>
      <c r="E573" s="110">
        <v>1150809.73</v>
      </c>
      <c r="I573" s="110">
        <v>106204.36</v>
      </c>
      <c r="J573" s="110">
        <v>190608.76</v>
      </c>
    </row>
    <row r="574" spans="1:12" x14ac:dyDescent="0.2">
      <c r="A574" t="s">
        <v>16</v>
      </c>
      <c r="B574" t="s">
        <v>105</v>
      </c>
      <c r="C574" t="s">
        <v>194</v>
      </c>
      <c r="D574" s="110">
        <v>1177223.53</v>
      </c>
      <c r="I574" s="110">
        <v>124021.3</v>
      </c>
    </row>
    <row r="575" spans="1:12" x14ac:dyDescent="0.2">
      <c r="A575" t="s">
        <v>16</v>
      </c>
      <c r="B575" t="s">
        <v>111</v>
      </c>
      <c r="C575" t="s">
        <v>191</v>
      </c>
      <c r="D575" s="110">
        <v>45390.5</v>
      </c>
      <c r="E575" s="110">
        <v>44082.5</v>
      </c>
      <c r="F575" s="110">
        <v>43589.5</v>
      </c>
      <c r="G575" s="110">
        <v>43239.5</v>
      </c>
      <c r="I575" s="110">
        <v>440.5</v>
      </c>
      <c r="J575" s="110">
        <v>1465.5</v>
      </c>
      <c r="K575" s="110">
        <v>1612.5</v>
      </c>
      <c r="L575" s="110">
        <v>1859</v>
      </c>
    </row>
    <row r="576" spans="1:12" x14ac:dyDescent="0.2">
      <c r="A576" t="s">
        <v>16</v>
      </c>
      <c r="B576" t="s">
        <v>111</v>
      </c>
      <c r="C576" t="s">
        <v>192</v>
      </c>
      <c r="D576" s="110">
        <v>33058.5</v>
      </c>
      <c r="E576" s="110">
        <v>29710.5</v>
      </c>
      <c r="F576" s="110">
        <v>29108.5</v>
      </c>
      <c r="I576" s="110">
        <v>1389.5</v>
      </c>
      <c r="J576" s="110">
        <v>1739.5</v>
      </c>
      <c r="K576" s="110">
        <v>2289.5</v>
      </c>
    </row>
    <row r="577" spans="1:12" x14ac:dyDescent="0.2">
      <c r="A577" t="s">
        <v>16</v>
      </c>
      <c r="B577" t="s">
        <v>111</v>
      </c>
      <c r="C577" t="s">
        <v>193</v>
      </c>
      <c r="D577" s="110">
        <v>32581.93</v>
      </c>
      <c r="E577" s="110">
        <v>29981.93</v>
      </c>
      <c r="I577" s="110">
        <v>1393.26</v>
      </c>
      <c r="J577" s="110">
        <v>2408.96</v>
      </c>
    </row>
    <row r="578" spans="1:12" x14ac:dyDescent="0.2">
      <c r="A578" t="s">
        <v>16</v>
      </c>
      <c r="B578" t="s">
        <v>111</v>
      </c>
      <c r="C578" t="s">
        <v>194</v>
      </c>
      <c r="D578" s="110">
        <v>31899.5</v>
      </c>
      <c r="I578" s="110">
        <v>900</v>
      </c>
    </row>
    <row r="579" spans="1:12" x14ac:dyDescent="0.2">
      <c r="A579" t="s">
        <v>16</v>
      </c>
      <c r="B579" t="s">
        <v>109</v>
      </c>
      <c r="C579" t="s">
        <v>191</v>
      </c>
      <c r="D579" s="110">
        <v>1862613.93</v>
      </c>
      <c r="E579" s="110">
        <v>1800078.18</v>
      </c>
      <c r="F579" s="110">
        <v>1782615.43</v>
      </c>
      <c r="G579" s="110">
        <v>1779443.62</v>
      </c>
      <c r="I579" s="110">
        <v>310838.59000000003</v>
      </c>
      <c r="J579" s="110">
        <v>673292.03</v>
      </c>
      <c r="K579" s="110">
        <v>840167.07</v>
      </c>
      <c r="L579" s="110">
        <v>941539.1</v>
      </c>
    </row>
    <row r="580" spans="1:12" x14ac:dyDescent="0.2">
      <c r="A580" t="s">
        <v>16</v>
      </c>
      <c r="B580" t="s">
        <v>109</v>
      </c>
      <c r="C580" t="s">
        <v>192</v>
      </c>
      <c r="D580" s="110">
        <v>2011141.82</v>
      </c>
      <c r="E580" s="110">
        <v>1961706.92</v>
      </c>
      <c r="F580" s="110">
        <v>1954856.92</v>
      </c>
      <c r="I580" s="110">
        <v>384836.82</v>
      </c>
      <c r="J580" s="110">
        <v>726586.62</v>
      </c>
      <c r="K580" s="110">
        <v>884371.88</v>
      </c>
    </row>
    <row r="581" spans="1:12" x14ac:dyDescent="0.2">
      <c r="A581" t="s">
        <v>16</v>
      </c>
      <c r="B581" t="s">
        <v>109</v>
      </c>
      <c r="C581" t="s">
        <v>193</v>
      </c>
      <c r="D581" s="110">
        <v>1959665.36</v>
      </c>
      <c r="E581" s="110">
        <v>1938598.42</v>
      </c>
      <c r="I581" s="110">
        <v>320605.3</v>
      </c>
      <c r="J581" s="110">
        <v>647957.62</v>
      </c>
    </row>
    <row r="582" spans="1:12" x14ac:dyDescent="0.2">
      <c r="A582" t="s">
        <v>16</v>
      </c>
      <c r="B582" t="s">
        <v>109</v>
      </c>
      <c r="C582" t="s">
        <v>194</v>
      </c>
      <c r="D582" s="110">
        <v>1834721.45</v>
      </c>
      <c r="I582" s="110">
        <v>367832.65</v>
      </c>
    </row>
    <row r="583" spans="1:12" x14ac:dyDescent="0.2">
      <c r="A583" t="s">
        <v>16</v>
      </c>
      <c r="B583" t="s">
        <v>106</v>
      </c>
      <c r="C583" t="s">
        <v>191</v>
      </c>
      <c r="D583" s="110">
        <v>1084589.79</v>
      </c>
      <c r="E583" s="110">
        <v>1080477.29</v>
      </c>
      <c r="F583" s="110">
        <v>1078517.29</v>
      </c>
      <c r="G583" s="110">
        <v>1077284.79</v>
      </c>
      <c r="I583" s="110">
        <v>1075532.72</v>
      </c>
      <c r="J583" s="110">
        <v>1076413.92</v>
      </c>
      <c r="K583" s="110">
        <v>1075223.92</v>
      </c>
      <c r="L583" s="110">
        <v>1074383.92</v>
      </c>
    </row>
    <row r="584" spans="1:12" x14ac:dyDescent="0.2">
      <c r="A584" t="s">
        <v>16</v>
      </c>
      <c r="B584" t="s">
        <v>106</v>
      </c>
      <c r="C584" t="s">
        <v>192</v>
      </c>
      <c r="D584" s="110">
        <v>1481455.36</v>
      </c>
      <c r="E584" s="110">
        <v>1474695.35</v>
      </c>
      <c r="F584" s="110">
        <v>1470374.35</v>
      </c>
      <c r="I584" s="110">
        <v>1474311.43</v>
      </c>
      <c r="J584" s="110">
        <v>1470238.92</v>
      </c>
      <c r="K584" s="110">
        <v>1466458.92</v>
      </c>
    </row>
    <row r="585" spans="1:12" x14ac:dyDescent="0.2">
      <c r="A585" t="s">
        <v>16</v>
      </c>
      <c r="B585" t="s">
        <v>106</v>
      </c>
      <c r="C585" t="s">
        <v>193</v>
      </c>
      <c r="D585" s="110">
        <v>1914163.8</v>
      </c>
      <c r="E585" s="110">
        <v>1901051.8</v>
      </c>
      <c r="I585" s="110">
        <v>1901151.8</v>
      </c>
      <c r="J585" s="110">
        <v>1894267.8</v>
      </c>
    </row>
    <row r="586" spans="1:12" x14ac:dyDescent="0.2">
      <c r="A586" t="s">
        <v>16</v>
      </c>
      <c r="B586" t="s">
        <v>106</v>
      </c>
      <c r="C586" t="s">
        <v>194</v>
      </c>
      <c r="D586" s="110">
        <v>1771239.28</v>
      </c>
      <c r="I586" s="110">
        <v>1756966.25</v>
      </c>
    </row>
    <row r="587" spans="1:12" x14ac:dyDescent="0.2">
      <c r="A587" t="s">
        <v>16</v>
      </c>
      <c r="B587" t="s">
        <v>107</v>
      </c>
      <c r="C587" t="s">
        <v>191</v>
      </c>
      <c r="D587" s="110">
        <v>1960157.22</v>
      </c>
      <c r="E587" s="110">
        <v>1955574.3</v>
      </c>
      <c r="F587" s="110">
        <v>1954314.3</v>
      </c>
      <c r="G587" s="110">
        <v>1952740.9</v>
      </c>
      <c r="I587" s="110">
        <v>1955428.82</v>
      </c>
      <c r="J587" s="110">
        <v>1954337.9</v>
      </c>
      <c r="K587" s="110">
        <v>1953147.9</v>
      </c>
      <c r="L587" s="110">
        <v>1951535.4</v>
      </c>
    </row>
    <row r="588" spans="1:12" x14ac:dyDescent="0.2">
      <c r="A588" t="s">
        <v>16</v>
      </c>
      <c r="B588" t="s">
        <v>107</v>
      </c>
      <c r="C588" t="s">
        <v>192</v>
      </c>
      <c r="D588" s="110">
        <v>2001116.95</v>
      </c>
      <c r="E588" s="110">
        <v>1997429.21</v>
      </c>
      <c r="F588" s="110">
        <v>1994900.71</v>
      </c>
      <c r="I588" s="110">
        <v>1997292.71</v>
      </c>
      <c r="J588" s="110">
        <v>1996074.71</v>
      </c>
      <c r="K588" s="110">
        <v>1993627.21</v>
      </c>
    </row>
    <row r="589" spans="1:12" x14ac:dyDescent="0.2">
      <c r="A589" t="s">
        <v>16</v>
      </c>
      <c r="B589" t="s">
        <v>107</v>
      </c>
      <c r="C589" t="s">
        <v>193</v>
      </c>
      <c r="D589" s="110">
        <v>209110.05</v>
      </c>
      <c r="E589" s="110">
        <v>2084529.05</v>
      </c>
      <c r="I589" s="110">
        <v>2087699</v>
      </c>
      <c r="J589" s="110">
        <v>2083341</v>
      </c>
    </row>
    <row r="590" spans="1:12" x14ac:dyDescent="0.2">
      <c r="A590" t="s">
        <v>16</v>
      </c>
      <c r="B590" t="s">
        <v>107</v>
      </c>
      <c r="C590" t="s">
        <v>194</v>
      </c>
      <c r="D590" s="110">
        <v>2143482.14</v>
      </c>
      <c r="I590" s="110">
        <v>2115374.16</v>
      </c>
    </row>
    <row r="591" spans="1:12" x14ac:dyDescent="0.2">
      <c r="A591" t="s">
        <v>16</v>
      </c>
      <c r="B591" t="s">
        <v>108</v>
      </c>
      <c r="C591" t="s">
        <v>191</v>
      </c>
      <c r="D591" s="110">
        <v>231794.8</v>
      </c>
      <c r="E591" s="110">
        <v>230910.8</v>
      </c>
      <c r="F591" s="110">
        <v>230910.8</v>
      </c>
      <c r="G591" s="110">
        <v>230910.8</v>
      </c>
      <c r="I591" s="110">
        <v>228658.8</v>
      </c>
      <c r="J591" s="110">
        <v>230213.8</v>
      </c>
      <c r="K591" s="110">
        <v>230213.8</v>
      </c>
      <c r="L591" s="110">
        <v>230213.8</v>
      </c>
    </row>
    <row r="592" spans="1:12" x14ac:dyDescent="0.2">
      <c r="A592" t="s">
        <v>16</v>
      </c>
      <c r="B592" t="s">
        <v>108</v>
      </c>
      <c r="C592" t="s">
        <v>192</v>
      </c>
      <c r="D592" s="110">
        <v>267492.15000000002</v>
      </c>
      <c r="E592" s="110">
        <v>267037.15000000002</v>
      </c>
      <c r="F592" s="110">
        <v>267037.15000000002</v>
      </c>
      <c r="I592" s="110">
        <v>264871.15000000002</v>
      </c>
      <c r="J592" s="110">
        <v>265281.15000000002</v>
      </c>
      <c r="K592" s="110">
        <v>265626.15000000002</v>
      </c>
    </row>
    <row r="593" spans="1:12" x14ac:dyDescent="0.2">
      <c r="A593" t="s">
        <v>16</v>
      </c>
      <c r="B593" t="s">
        <v>108</v>
      </c>
      <c r="C593" t="s">
        <v>193</v>
      </c>
      <c r="D593" s="110">
        <v>271114.27</v>
      </c>
      <c r="E593" s="110">
        <v>269194.27</v>
      </c>
      <c r="I593" s="110">
        <v>267346.27</v>
      </c>
      <c r="J593" s="110">
        <v>267983.27</v>
      </c>
    </row>
    <row r="594" spans="1:12" x14ac:dyDescent="0.2">
      <c r="A594" t="s">
        <v>16</v>
      </c>
      <c r="B594" t="s">
        <v>108</v>
      </c>
      <c r="C594" t="s">
        <v>194</v>
      </c>
      <c r="D594" s="110">
        <v>259825.79</v>
      </c>
      <c r="I594" s="110">
        <v>254160.79</v>
      </c>
    </row>
    <row r="595" spans="1:12" x14ac:dyDescent="0.2">
      <c r="A595" t="s">
        <v>16</v>
      </c>
      <c r="B595" t="s">
        <v>70</v>
      </c>
      <c r="C595" t="s">
        <v>191</v>
      </c>
      <c r="D595" s="110">
        <v>509196.5</v>
      </c>
      <c r="E595" s="110">
        <v>508821.5</v>
      </c>
      <c r="F595" s="110">
        <v>508821.5</v>
      </c>
      <c r="G595" s="110">
        <v>508821.5</v>
      </c>
      <c r="I595" s="110">
        <v>499196.5</v>
      </c>
      <c r="J595" s="110">
        <v>500397.5</v>
      </c>
      <c r="K595" s="110">
        <v>500397.5</v>
      </c>
      <c r="L595" s="110">
        <v>500397.5</v>
      </c>
    </row>
    <row r="596" spans="1:12" x14ac:dyDescent="0.2">
      <c r="A596" t="s">
        <v>16</v>
      </c>
      <c r="B596" t="s">
        <v>70</v>
      </c>
      <c r="C596" t="s">
        <v>192</v>
      </c>
      <c r="D596" s="110">
        <v>551561</v>
      </c>
      <c r="E596" s="110">
        <v>551022</v>
      </c>
      <c r="F596" s="110">
        <v>551022</v>
      </c>
      <c r="I596" s="110">
        <v>538825.44999999995</v>
      </c>
      <c r="J596" s="110">
        <v>538815.44999999995</v>
      </c>
      <c r="K596" s="110">
        <v>538815.44999999995</v>
      </c>
    </row>
    <row r="597" spans="1:12" x14ac:dyDescent="0.2">
      <c r="A597" t="s">
        <v>16</v>
      </c>
      <c r="B597" t="s">
        <v>70</v>
      </c>
      <c r="C597" t="s">
        <v>193</v>
      </c>
      <c r="D597" s="110">
        <v>574864.5</v>
      </c>
      <c r="E597" s="110">
        <v>574318.5</v>
      </c>
      <c r="I597" s="110">
        <v>561340.5</v>
      </c>
      <c r="J597" s="110">
        <v>561759.5</v>
      </c>
    </row>
    <row r="598" spans="1:12" x14ac:dyDescent="0.2">
      <c r="A598" t="s">
        <v>16</v>
      </c>
      <c r="B598" t="s">
        <v>70</v>
      </c>
      <c r="C598" t="s">
        <v>194</v>
      </c>
      <c r="D598" s="110">
        <v>518702.5</v>
      </c>
      <c r="I598" s="110">
        <v>504001.5</v>
      </c>
    </row>
    <row r="599" spans="1:12" x14ac:dyDescent="0.2">
      <c r="A599" t="s">
        <v>16</v>
      </c>
      <c r="B599" t="s">
        <v>110</v>
      </c>
      <c r="C599" t="s">
        <v>191</v>
      </c>
      <c r="D599" s="110">
        <v>4606906.93</v>
      </c>
      <c r="E599" s="110">
        <v>4670988.1100000003</v>
      </c>
      <c r="F599" s="110">
        <v>4693075.62</v>
      </c>
      <c r="G599" s="110">
        <v>4696323.5999999996</v>
      </c>
      <c r="I599" s="110">
        <v>2030020.26</v>
      </c>
      <c r="J599" s="110">
        <v>3416786.27</v>
      </c>
      <c r="K599" s="110">
        <v>3755574.8</v>
      </c>
      <c r="L599" s="110">
        <v>3899381.18</v>
      </c>
    </row>
    <row r="600" spans="1:12" x14ac:dyDescent="0.2">
      <c r="A600" t="s">
        <v>16</v>
      </c>
      <c r="B600" t="s">
        <v>110</v>
      </c>
      <c r="C600" t="s">
        <v>192</v>
      </c>
      <c r="D600" s="110">
        <v>5141563.84</v>
      </c>
      <c r="E600" s="110">
        <v>5287554.51</v>
      </c>
      <c r="F600" s="110">
        <v>5307539.26</v>
      </c>
      <c r="I600" s="110">
        <v>2315168.9700000002</v>
      </c>
      <c r="J600" s="110">
        <v>3862193.79</v>
      </c>
      <c r="K600" s="110">
        <v>4229350.5999999996</v>
      </c>
    </row>
    <row r="601" spans="1:12" x14ac:dyDescent="0.2">
      <c r="A601" t="s">
        <v>16</v>
      </c>
      <c r="B601" t="s">
        <v>110</v>
      </c>
      <c r="C601" t="s">
        <v>193</v>
      </c>
      <c r="D601" s="110">
        <v>4267712.63</v>
      </c>
      <c r="E601" s="110">
        <v>4350270.5599999996</v>
      </c>
      <c r="I601" s="110">
        <v>2013692.36</v>
      </c>
      <c r="J601" s="110">
        <v>3311751.84</v>
      </c>
    </row>
    <row r="602" spans="1:12" x14ac:dyDescent="0.2">
      <c r="A602" t="s">
        <v>16</v>
      </c>
      <c r="B602" t="s">
        <v>110</v>
      </c>
      <c r="C602" t="s">
        <v>194</v>
      </c>
      <c r="D602" s="110">
        <v>3949697.76</v>
      </c>
      <c r="I602" s="110">
        <v>1985487.12</v>
      </c>
    </row>
    <row r="603" spans="1:12" x14ac:dyDescent="0.2">
      <c r="A603" t="s">
        <v>17</v>
      </c>
      <c r="B603" t="s">
        <v>104</v>
      </c>
      <c r="C603" t="s">
        <v>191</v>
      </c>
      <c r="D603" s="110">
        <v>2257485.0099999998</v>
      </c>
      <c r="E603" s="110">
        <v>2254635.0099999998</v>
      </c>
      <c r="F603" s="110">
        <v>2248706.0099999998</v>
      </c>
      <c r="G603" s="110">
        <v>2245928.0099999998</v>
      </c>
      <c r="I603" s="110">
        <v>48971.82</v>
      </c>
      <c r="J603" s="110">
        <v>76474.37</v>
      </c>
      <c r="K603" s="110">
        <v>92806.95</v>
      </c>
      <c r="L603" s="110">
        <v>121235.03</v>
      </c>
    </row>
    <row r="604" spans="1:12" x14ac:dyDescent="0.2">
      <c r="A604" t="s">
        <v>17</v>
      </c>
      <c r="B604" t="s">
        <v>104</v>
      </c>
      <c r="C604" t="s">
        <v>192</v>
      </c>
      <c r="D604" s="110">
        <v>1403185.22</v>
      </c>
      <c r="E604" s="110">
        <v>1400494.22</v>
      </c>
      <c r="F604" s="110">
        <v>1398319.22</v>
      </c>
      <c r="I604" s="110">
        <v>54364.38</v>
      </c>
      <c r="J604" s="110">
        <v>77727.39</v>
      </c>
      <c r="K604" s="110">
        <v>95714.92</v>
      </c>
    </row>
    <row r="605" spans="1:12" x14ac:dyDescent="0.2">
      <c r="A605" t="s">
        <v>17</v>
      </c>
      <c r="B605" t="s">
        <v>104</v>
      </c>
      <c r="C605" t="s">
        <v>193</v>
      </c>
      <c r="D605" s="110">
        <v>1386293.45</v>
      </c>
      <c r="E605" s="110">
        <v>1434831.95</v>
      </c>
      <c r="I605" s="110">
        <v>50375.7</v>
      </c>
      <c r="J605" s="110">
        <v>67599.62</v>
      </c>
    </row>
    <row r="606" spans="1:12" x14ac:dyDescent="0.2">
      <c r="A606" t="s">
        <v>17</v>
      </c>
      <c r="B606" t="s">
        <v>104</v>
      </c>
      <c r="C606" t="s">
        <v>194</v>
      </c>
      <c r="D606" s="110">
        <v>4376808.37</v>
      </c>
      <c r="I606" s="110">
        <v>42151.9</v>
      </c>
    </row>
    <row r="607" spans="1:12" x14ac:dyDescent="0.2">
      <c r="A607" t="s">
        <v>17</v>
      </c>
      <c r="B607" t="s">
        <v>140</v>
      </c>
      <c r="C607" t="s">
        <v>191</v>
      </c>
      <c r="D607" s="110">
        <v>613080</v>
      </c>
      <c r="E607" s="110">
        <v>613080</v>
      </c>
      <c r="F607" s="110">
        <v>613026</v>
      </c>
      <c r="G607" s="110">
        <v>612926</v>
      </c>
      <c r="I607" s="110">
        <v>312</v>
      </c>
      <c r="J607" s="110">
        <v>319</v>
      </c>
      <c r="K607" s="110">
        <v>315</v>
      </c>
      <c r="L607" s="110">
        <v>315</v>
      </c>
    </row>
    <row r="608" spans="1:12" x14ac:dyDescent="0.2">
      <c r="A608" t="s">
        <v>17</v>
      </c>
      <c r="B608" t="s">
        <v>140</v>
      </c>
      <c r="C608" t="s">
        <v>192</v>
      </c>
      <c r="D608" s="110">
        <v>322004</v>
      </c>
      <c r="E608" s="110">
        <v>321953</v>
      </c>
      <c r="F608" s="110">
        <v>322033</v>
      </c>
      <c r="I608" s="110">
        <v>429</v>
      </c>
      <c r="J608" s="110">
        <v>467</v>
      </c>
      <c r="K608" s="110">
        <v>467</v>
      </c>
    </row>
    <row r="609" spans="1:12" x14ac:dyDescent="0.2">
      <c r="A609" t="s">
        <v>17</v>
      </c>
      <c r="B609" t="s">
        <v>140</v>
      </c>
      <c r="C609" t="s">
        <v>193</v>
      </c>
      <c r="D609" s="110">
        <v>320012</v>
      </c>
      <c r="E609" s="110">
        <v>372412</v>
      </c>
      <c r="I609" s="110">
        <v>383</v>
      </c>
      <c r="J609" s="110">
        <v>347</v>
      </c>
    </row>
    <row r="610" spans="1:12" x14ac:dyDescent="0.2">
      <c r="A610" t="s">
        <v>17</v>
      </c>
      <c r="B610" t="s">
        <v>140</v>
      </c>
      <c r="C610" t="s">
        <v>194</v>
      </c>
      <c r="D610" s="110">
        <v>3375088</v>
      </c>
      <c r="I610" s="110">
        <v>454</v>
      </c>
    </row>
    <row r="611" spans="1:12" x14ac:dyDescent="0.2">
      <c r="A611" t="s">
        <v>17</v>
      </c>
      <c r="B611" t="s">
        <v>105</v>
      </c>
      <c r="C611" t="s">
        <v>191</v>
      </c>
      <c r="D611" s="110">
        <v>759140.68</v>
      </c>
      <c r="E611" s="110">
        <v>749831.68000000005</v>
      </c>
      <c r="F611" s="110">
        <v>743600.63</v>
      </c>
      <c r="G611" s="110">
        <v>740643.63</v>
      </c>
      <c r="I611" s="110">
        <v>148972.26999999999</v>
      </c>
      <c r="J611" s="110">
        <v>218208.3</v>
      </c>
      <c r="K611" s="110">
        <v>264339.19</v>
      </c>
      <c r="L611" s="110">
        <v>312457.08</v>
      </c>
    </row>
    <row r="612" spans="1:12" x14ac:dyDescent="0.2">
      <c r="A612" t="s">
        <v>17</v>
      </c>
      <c r="B612" t="s">
        <v>105</v>
      </c>
      <c r="C612" t="s">
        <v>192</v>
      </c>
      <c r="D612" s="110">
        <v>830792.15</v>
      </c>
      <c r="E612" s="110">
        <v>820118</v>
      </c>
      <c r="F612" s="110">
        <v>814412.37</v>
      </c>
      <c r="I612" s="110">
        <v>186947.28</v>
      </c>
      <c r="J612" s="110">
        <v>248016.15</v>
      </c>
      <c r="K612" s="110">
        <v>285241.75</v>
      </c>
    </row>
    <row r="613" spans="1:12" x14ac:dyDescent="0.2">
      <c r="A613" t="s">
        <v>17</v>
      </c>
      <c r="B613" t="s">
        <v>105</v>
      </c>
      <c r="C613" t="s">
        <v>193</v>
      </c>
      <c r="D613" s="110">
        <v>787327.7</v>
      </c>
      <c r="E613" s="110">
        <v>781802.7</v>
      </c>
      <c r="I613" s="110">
        <v>175915.67</v>
      </c>
      <c r="J613" s="110">
        <v>231530.9</v>
      </c>
    </row>
    <row r="614" spans="1:12" x14ac:dyDescent="0.2">
      <c r="A614" t="s">
        <v>17</v>
      </c>
      <c r="B614" t="s">
        <v>105</v>
      </c>
      <c r="C614" t="s">
        <v>194</v>
      </c>
      <c r="D614" s="110">
        <v>855184.43</v>
      </c>
      <c r="I614" s="110">
        <v>150807.54999999999</v>
      </c>
    </row>
    <row r="615" spans="1:12" x14ac:dyDescent="0.2">
      <c r="A615" t="s">
        <v>17</v>
      </c>
      <c r="B615" t="s">
        <v>111</v>
      </c>
      <c r="C615" t="s">
        <v>191</v>
      </c>
      <c r="D615" s="110">
        <v>133109.15</v>
      </c>
      <c r="E615" s="110">
        <v>128177.9</v>
      </c>
      <c r="F615" s="110">
        <v>124353.27</v>
      </c>
      <c r="G615" s="110">
        <v>118121.07</v>
      </c>
      <c r="I615" s="110">
        <v>4410.1499999999996</v>
      </c>
      <c r="J615" s="110">
        <v>5784.15</v>
      </c>
      <c r="K615" s="110">
        <v>6336.15</v>
      </c>
      <c r="L615" s="110">
        <v>7292.15</v>
      </c>
    </row>
    <row r="616" spans="1:12" x14ac:dyDescent="0.2">
      <c r="A616" t="s">
        <v>17</v>
      </c>
      <c r="B616" t="s">
        <v>111</v>
      </c>
      <c r="C616" t="s">
        <v>192</v>
      </c>
      <c r="D616" s="110">
        <v>121664.8</v>
      </c>
      <c r="E616" s="110">
        <v>120438.8</v>
      </c>
      <c r="F616" s="110">
        <v>118303.55</v>
      </c>
      <c r="I616" s="110">
        <v>4699.8</v>
      </c>
      <c r="J616" s="110">
        <v>5420.8</v>
      </c>
      <c r="K616" s="110">
        <v>7058.3</v>
      </c>
    </row>
    <row r="617" spans="1:12" x14ac:dyDescent="0.2">
      <c r="A617" t="s">
        <v>17</v>
      </c>
      <c r="B617" t="s">
        <v>111</v>
      </c>
      <c r="C617" t="s">
        <v>193</v>
      </c>
      <c r="D617" s="110">
        <v>132487.62</v>
      </c>
      <c r="E617" s="110">
        <v>132457.62</v>
      </c>
      <c r="I617" s="110">
        <v>4242.62</v>
      </c>
      <c r="J617" s="110">
        <v>5860.12</v>
      </c>
    </row>
    <row r="618" spans="1:12" x14ac:dyDescent="0.2">
      <c r="A618" t="s">
        <v>17</v>
      </c>
      <c r="B618" t="s">
        <v>111</v>
      </c>
      <c r="C618" t="s">
        <v>194</v>
      </c>
      <c r="D618" s="110">
        <v>111355.1</v>
      </c>
      <c r="I618" s="110">
        <v>3356.1</v>
      </c>
    </row>
    <row r="619" spans="1:12" x14ac:dyDescent="0.2">
      <c r="A619" t="s">
        <v>17</v>
      </c>
      <c r="B619" t="s">
        <v>109</v>
      </c>
      <c r="C619" t="s">
        <v>191</v>
      </c>
      <c r="D619" s="110">
        <v>418002.1</v>
      </c>
      <c r="E619" s="110">
        <v>415438.9</v>
      </c>
      <c r="F619" s="110">
        <v>411969.6</v>
      </c>
      <c r="G619" s="110">
        <v>409867.95</v>
      </c>
      <c r="I619" s="110">
        <v>78984.600000000006</v>
      </c>
      <c r="J619" s="110">
        <v>133524.69</v>
      </c>
      <c r="K619" s="110">
        <v>156195.35</v>
      </c>
      <c r="L619" s="110">
        <v>170256.45</v>
      </c>
    </row>
    <row r="620" spans="1:12" x14ac:dyDescent="0.2">
      <c r="A620" t="s">
        <v>17</v>
      </c>
      <c r="B620" t="s">
        <v>109</v>
      </c>
      <c r="C620" t="s">
        <v>192</v>
      </c>
      <c r="D620" s="110">
        <v>423093.3</v>
      </c>
      <c r="E620" s="110">
        <v>421032.8</v>
      </c>
      <c r="F620" s="110">
        <v>416132.8</v>
      </c>
      <c r="I620" s="110">
        <v>102871.46</v>
      </c>
      <c r="J620" s="110">
        <v>149792.62</v>
      </c>
      <c r="K620" s="110">
        <v>171456.62</v>
      </c>
    </row>
    <row r="621" spans="1:12" x14ac:dyDescent="0.2">
      <c r="A621" t="s">
        <v>17</v>
      </c>
      <c r="B621" t="s">
        <v>109</v>
      </c>
      <c r="C621" t="s">
        <v>193</v>
      </c>
      <c r="D621" s="110">
        <v>368156</v>
      </c>
      <c r="E621" s="110">
        <v>372500.51</v>
      </c>
      <c r="I621" s="110">
        <v>88450.75</v>
      </c>
      <c r="J621" s="110">
        <v>122997</v>
      </c>
    </row>
    <row r="622" spans="1:12" x14ac:dyDescent="0.2">
      <c r="A622" t="s">
        <v>17</v>
      </c>
      <c r="B622" t="s">
        <v>109</v>
      </c>
      <c r="C622" t="s">
        <v>194</v>
      </c>
      <c r="D622" s="110">
        <v>362339.5</v>
      </c>
      <c r="I622" s="110">
        <v>78318.75</v>
      </c>
    </row>
    <row r="623" spans="1:12" x14ac:dyDescent="0.2">
      <c r="A623" t="s">
        <v>17</v>
      </c>
      <c r="B623" t="s">
        <v>106</v>
      </c>
      <c r="C623" t="s">
        <v>191</v>
      </c>
      <c r="D623" s="110">
        <v>403217.07</v>
      </c>
      <c r="E623" s="110">
        <v>401799.57</v>
      </c>
      <c r="F623" s="110">
        <v>401449.57</v>
      </c>
      <c r="G623" s="110">
        <v>401599.57</v>
      </c>
      <c r="I623" s="110">
        <v>397386.57</v>
      </c>
      <c r="J623" s="110">
        <v>398529.07</v>
      </c>
      <c r="K623" s="110">
        <v>398149.07</v>
      </c>
      <c r="L623" s="110">
        <v>398149.07</v>
      </c>
    </row>
    <row r="624" spans="1:12" x14ac:dyDescent="0.2">
      <c r="A624" t="s">
        <v>17</v>
      </c>
      <c r="B624" t="s">
        <v>106</v>
      </c>
      <c r="C624" t="s">
        <v>192</v>
      </c>
      <c r="D624" s="110">
        <v>413529.49</v>
      </c>
      <c r="E624" s="110">
        <v>413016.99</v>
      </c>
      <c r="F624" s="110">
        <v>412633.99</v>
      </c>
      <c r="I624" s="110">
        <v>407032.99</v>
      </c>
      <c r="J624" s="110">
        <v>407302.99</v>
      </c>
      <c r="K624" s="110">
        <v>407063.99</v>
      </c>
    </row>
    <row r="625" spans="1:12" x14ac:dyDescent="0.2">
      <c r="A625" t="s">
        <v>17</v>
      </c>
      <c r="B625" t="s">
        <v>106</v>
      </c>
      <c r="C625" t="s">
        <v>193</v>
      </c>
      <c r="D625" s="110">
        <v>393917.41</v>
      </c>
      <c r="E625" s="110">
        <v>393507.41</v>
      </c>
      <c r="I625" s="110">
        <v>386303.07</v>
      </c>
      <c r="J625" s="110">
        <v>390138.57</v>
      </c>
    </row>
    <row r="626" spans="1:12" x14ac:dyDescent="0.2">
      <c r="A626" t="s">
        <v>17</v>
      </c>
      <c r="B626" t="s">
        <v>106</v>
      </c>
      <c r="C626" t="s">
        <v>194</v>
      </c>
      <c r="D626" s="110">
        <v>356541.05</v>
      </c>
      <c r="I626" s="110">
        <v>345307.05</v>
      </c>
    </row>
    <row r="627" spans="1:12" x14ac:dyDescent="0.2">
      <c r="A627" t="s">
        <v>17</v>
      </c>
      <c r="B627" t="s">
        <v>107</v>
      </c>
      <c r="C627" t="s">
        <v>191</v>
      </c>
      <c r="D627" s="110">
        <v>261538.36</v>
      </c>
      <c r="E627" s="110">
        <v>261538.36</v>
      </c>
      <c r="F627" s="110">
        <v>261538.36</v>
      </c>
      <c r="G627" s="110">
        <v>261538.36</v>
      </c>
      <c r="I627" s="110">
        <v>260204.45</v>
      </c>
      <c r="J627" s="110">
        <v>260472.56</v>
      </c>
      <c r="K627" s="110">
        <v>260472.56</v>
      </c>
      <c r="L627" s="110">
        <v>260472.56</v>
      </c>
    </row>
    <row r="628" spans="1:12" x14ac:dyDescent="0.2">
      <c r="A628" t="s">
        <v>17</v>
      </c>
      <c r="B628" t="s">
        <v>107</v>
      </c>
      <c r="C628" t="s">
        <v>192</v>
      </c>
      <c r="D628" s="110">
        <v>272561.25</v>
      </c>
      <c r="E628" s="110">
        <v>272557.75</v>
      </c>
      <c r="F628" s="110">
        <v>272257.75</v>
      </c>
      <c r="I628" s="110">
        <v>271315.05</v>
      </c>
      <c r="J628" s="110">
        <v>272547.25</v>
      </c>
      <c r="K628" s="110">
        <v>272247.25</v>
      </c>
    </row>
    <row r="629" spans="1:12" x14ac:dyDescent="0.2">
      <c r="A629" t="s">
        <v>17</v>
      </c>
      <c r="B629" t="s">
        <v>107</v>
      </c>
      <c r="C629" t="s">
        <v>193</v>
      </c>
      <c r="D629" s="110">
        <v>340935.24</v>
      </c>
      <c r="E629" s="110">
        <v>340635.24</v>
      </c>
      <c r="I629" s="110">
        <v>339555.24</v>
      </c>
      <c r="J629" s="110">
        <v>340340.24</v>
      </c>
    </row>
    <row r="630" spans="1:12" x14ac:dyDescent="0.2">
      <c r="A630" t="s">
        <v>17</v>
      </c>
      <c r="B630" t="s">
        <v>107</v>
      </c>
      <c r="C630" t="s">
        <v>194</v>
      </c>
      <c r="D630" s="110">
        <v>381758.14</v>
      </c>
      <c r="I630" s="110">
        <v>381259.31</v>
      </c>
    </row>
    <row r="631" spans="1:12" x14ac:dyDescent="0.2">
      <c r="A631" t="s">
        <v>17</v>
      </c>
      <c r="B631" t="s">
        <v>108</v>
      </c>
      <c r="C631" t="s">
        <v>191</v>
      </c>
      <c r="D631" s="110">
        <v>96875.59</v>
      </c>
      <c r="E631" s="110">
        <v>96102.09</v>
      </c>
      <c r="F631" s="110">
        <v>95451.09</v>
      </c>
      <c r="G631" s="110">
        <v>95451.09</v>
      </c>
      <c r="I631" s="110">
        <v>94949.59</v>
      </c>
      <c r="J631" s="110">
        <v>95292.59</v>
      </c>
      <c r="K631" s="110">
        <v>95292.59</v>
      </c>
      <c r="L631" s="110">
        <v>95292.59</v>
      </c>
    </row>
    <row r="632" spans="1:12" x14ac:dyDescent="0.2">
      <c r="A632" t="s">
        <v>17</v>
      </c>
      <c r="B632" t="s">
        <v>108</v>
      </c>
      <c r="C632" t="s">
        <v>192</v>
      </c>
      <c r="D632" s="110">
        <v>123885.83</v>
      </c>
      <c r="E632" s="110">
        <v>123735.83</v>
      </c>
      <c r="F632" s="110">
        <v>123500.83</v>
      </c>
      <c r="I632" s="110">
        <v>121225.33</v>
      </c>
      <c r="J632" s="110">
        <v>121686.33</v>
      </c>
      <c r="K632" s="110">
        <v>121451.33</v>
      </c>
    </row>
    <row r="633" spans="1:12" x14ac:dyDescent="0.2">
      <c r="A633" t="s">
        <v>17</v>
      </c>
      <c r="B633" t="s">
        <v>108</v>
      </c>
      <c r="C633" t="s">
        <v>193</v>
      </c>
      <c r="D633" s="110">
        <v>121869</v>
      </c>
      <c r="E633" s="110">
        <v>121875</v>
      </c>
      <c r="I633" s="110">
        <v>120546</v>
      </c>
      <c r="J633" s="110">
        <v>120994</v>
      </c>
    </row>
    <row r="634" spans="1:12" x14ac:dyDescent="0.2">
      <c r="A634" t="s">
        <v>17</v>
      </c>
      <c r="B634" t="s">
        <v>108</v>
      </c>
      <c r="C634" t="s">
        <v>194</v>
      </c>
      <c r="D634" s="110">
        <v>104944.63</v>
      </c>
      <c r="I634" s="110">
        <v>103974.63</v>
      </c>
    </row>
    <row r="635" spans="1:12" x14ac:dyDescent="0.2">
      <c r="A635" t="s">
        <v>17</v>
      </c>
      <c r="B635" t="s">
        <v>70</v>
      </c>
      <c r="C635" t="s">
        <v>191</v>
      </c>
      <c r="D635" s="110">
        <v>151406.35</v>
      </c>
      <c r="E635" s="110">
        <v>150898.35</v>
      </c>
      <c r="F635" s="110">
        <v>150598.35</v>
      </c>
      <c r="G635" s="110">
        <v>150598.35</v>
      </c>
      <c r="I635" s="110">
        <v>146024.65</v>
      </c>
      <c r="J635" s="110">
        <v>147216.4</v>
      </c>
      <c r="K635" s="110">
        <v>147482.4</v>
      </c>
      <c r="L635" s="110">
        <v>147482.4</v>
      </c>
    </row>
    <row r="636" spans="1:12" x14ac:dyDescent="0.2">
      <c r="A636" t="s">
        <v>17</v>
      </c>
      <c r="B636" t="s">
        <v>70</v>
      </c>
      <c r="C636" t="s">
        <v>192</v>
      </c>
      <c r="D636" s="110">
        <v>166039.85</v>
      </c>
      <c r="E636" s="110">
        <v>163343.95000000001</v>
      </c>
      <c r="F636" s="110">
        <v>163315.95000000001</v>
      </c>
      <c r="I636" s="110">
        <v>155638.29999999999</v>
      </c>
      <c r="J636" s="110">
        <v>158337.1</v>
      </c>
      <c r="K636" s="110">
        <v>158370.1</v>
      </c>
    </row>
    <row r="637" spans="1:12" x14ac:dyDescent="0.2">
      <c r="A637" t="s">
        <v>17</v>
      </c>
      <c r="B637" t="s">
        <v>70</v>
      </c>
      <c r="C637" t="s">
        <v>193</v>
      </c>
      <c r="D637" s="110">
        <v>203981.5</v>
      </c>
      <c r="E637" s="110">
        <v>201780.45</v>
      </c>
      <c r="I637" s="110">
        <v>194728.75</v>
      </c>
      <c r="J637" s="110">
        <v>195758.95</v>
      </c>
    </row>
    <row r="638" spans="1:12" x14ac:dyDescent="0.2">
      <c r="A638" t="s">
        <v>17</v>
      </c>
      <c r="B638" t="s">
        <v>70</v>
      </c>
      <c r="C638" t="s">
        <v>194</v>
      </c>
      <c r="D638" s="110">
        <v>171294.16</v>
      </c>
      <c r="I638" s="110">
        <v>161076.91</v>
      </c>
    </row>
    <row r="639" spans="1:12" x14ac:dyDescent="0.2">
      <c r="A639" t="s">
        <v>17</v>
      </c>
      <c r="B639" t="s">
        <v>110</v>
      </c>
      <c r="C639" t="s">
        <v>191</v>
      </c>
      <c r="D639" s="110">
        <v>1446384.72</v>
      </c>
      <c r="E639" s="110">
        <v>1403939.85</v>
      </c>
      <c r="F639" s="110">
        <v>1401747.15</v>
      </c>
      <c r="G639" s="110">
        <v>1440165.15</v>
      </c>
      <c r="I639" s="110">
        <v>657681.39</v>
      </c>
      <c r="J639" s="110">
        <v>1046099.35</v>
      </c>
      <c r="K639" s="110">
        <v>1097918.98</v>
      </c>
      <c r="L639" s="110">
        <v>1169311.32</v>
      </c>
    </row>
    <row r="640" spans="1:12" x14ac:dyDescent="0.2">
      <c r="A640" t="s">
        <v>17</v>
      </c>
      <c r="B640" t="s">
        <v>110</v>
      </c>
      <c r="C640" t="s">
        <v>192</v>
      </c>
      <c r="D640" s="110">
        <v>1319133.8799999999</v>
      </c>
      <c r="E640" s="110">
        <v>1264936.04</v>
      </c>
      <c r="F640" s="110">
        <v>1274132.54</v>
      </c>
      <c r="I640" s="110">
        <v>653710.93999999994</v>
      </c>
      <c r="J640" s="110">
        <v>937839.77</v>
      </c>
      <c r="K640" s="110">
        <v>977590.59</v>
      </c>
    </row>
    <row r="641" spans="1:12" x14ac:dyDescent="0.2">
      <c r="A641" t="s">
        <v>17</v>
      </c>
      <c r="B641" t="s">
        <v>110</v>
      </c>
      <c r="C641" t="s">
        <v>193</v>
      </c>
      <c r="D641" s="110">
        <v>1247557.8</v>
      </c>
      <c r="E641" s="110">
        <v>1207745.72</v>
      </c>
      <c r="I641" s="110">
        <v>606691.52</v>
      </c>
      <c r="J641" s="110">
        <v>870239.3</v>
      </c>
    </row>
    <row r="642" spans="1:12" x14ac:dyDescent="0.2">
      <c r="A642" t="s">
        <v>17</v>
      </c>
      <c r="B642" t="s">
        <v>110</v>
      </c>
      <c r="C642" t="s">
        <v>194</v>
      </c>
      <c r="D642" s="110">
        <v>1209533.3799999999</v>
      </c>
      <c r="I642" s="110">
        <v>540514.84</v>
      </c>
    </row>
    <row r="643" spans="1:12" x14ac:dyDescent="0.2">
      <c r="A643" t="s">
        <v>18</v>
      </c>
      <c r="B643" t="s">
        <v>104</v>
      </c>
      <c r="C643" t="s">
        <v>191</v>
      </c>
      <c r="D643" s="110">
        <v>141832</v>
      </c>
      <c r="E643" s="110">
        <v>141632</v>
      </c>
      <c r="F643" s="110">
        <v>141582</v>
      </c>
      <c r="G643" s="110">
        <v>140682</v>
      </c>
      <c r="I643" s="110">
        <v>3392.39</v>
      </c>
      <c r="J643" s="110">
        <v>8113.51</v>
      </c>
      <c r="K643" s="110">
        <v>12198.08</v>
      </c>
      <c r="L643" s="110">
        <v>14838.08</v>
      </c>
    </row>
    <row r="644" spans="1:12" x14ac:dyDescent="0.2">
      <c r="A644" t="s">
        <v>18</v>
      </c>
      <c r="B644" t="s">
        <v>104</v>
      </c>
      <c r="C644" t="s">
        <v>192</v>
      </c>
      <c r="D644" s="110">
        <v>217731.03</v>
      </c>
      <c r="E644" s="110">
        <v>217531.03</v>
      </c>
      <c r="F644" s="110">
        <v>216636.03</v>
      </c>
      <c r="I644" s="110">
        <v>6734.44</v>
      </c>
      <c r="J644" s="110">
        <v>12568.46</v>
      </c>
      <c r="K644" s="110">
        <v>18775.259999999998</v>
      </c>
    </row>
    <row r="645" spans="1:12" x14ac:dyDescent="0.2">
      <c r="A645" t="s">
        <v>18</v>
      </c>
      <c r="B645" t="s">
        <v>104</v>
      </c>
      <c r="C645" t="s">
        <v>193</v>
      </c>
      <c r="D645" s="110">
        <v>153099.19</v>
      </c>
      <c r="E645" s="110">
        <v>152274.19</v>
      </c>
      <c r="I645" s="110">
        <v>5317.4</v>
      </c>
      <c r="J645" s="110">
        <v>9481.8700000000008</v>
      </c>
    </row>
    <row r="646" spans="1:12" x14ac:dyDescent="0.2">
      <c r="A646" t="s">
        <v>18</v>
      </c>
      <c r="B646" t="s">
        <v>104</v>
      </c>
      <c r="C646" t="s">
        <v>194</v>
      </c>
      <c r="D646" s="110">
        <v>140523</v>
      </c>
      <c r="I646" s="110">
        <v>4383.6099999999997</v>
      </c>
    </row>
    <row r="647" spans="1:12" x14ac:dyDescent="0.2">
      <c r="A647" t="s">
        <v>18</v>
      </c>
      <c r="B647" t="s">
        <v>140</v>
      </c>
      <c r="C647" t="s">
        <v>191</v>
      </c>
      <c r="D647" s="110">
        <v>25</v>
      </c>
      <c r="E647" s="110">
        <v>188</v>
      </c>
      <c r="F647" s="110">
        <v>188</v>
      </c>
      <c r="G647" s="110">
        <v>188</v>
      </c>
    </row>
    <row r="648" spans="1:12" x14ac:dyDescent="0.2">
      <c r="A648" t="s">
        <v>18</v>
      </c>
      <c r="B648" t="s">
        <v>140</v>
      </c>
      <c r="C648" t="s">
        <v>192</v>
      </c>
      <c r="D648" s="110">
        <v>53318</v>
      </c>
      <c r="E648" s="110">
        <v>53318</v>
      </c>
      <c r="F648" s="110">
        <v>53318</v>
      </c>
    </row>
    <row r="649" spans="1:12" x14ac:dyDescent="0.2">
      <c r="A649" t="s">
        <v>18</v>
      </c>
      <c r="B649" t="s">
        <v>140</v>
      </c>
      <c r="C649" t="s">
        <v>193</v>
      </c>
    </row>
    <row r="650" spans="1:12" x14ac:dyDescent="0.2">
      <c r="A650" t="s">
        <v>18</v>
      </c>
      <c r="B650" t="s">
        <v>140</v>
      </c>
      <c r="C650" t="s">
        <v>194</v>
      </c>
      <c r="D650" s="110">
        <v>50</v>
      </c>
    </row>
    <row r="651" spans="1:12" x14ac:dyDescent="0.2">
      <c r="A651" t="s">
        <v>18</v>
      </c>
      <c r="B651" t="s">
        <v>105</v>
      </c>
      <c r="C651" t="s">
        <v>191</v>
      </c>
      <c r="D651" s="110">
        <v>90810</v>
      </c>
      <c r="E651" s="110">
        <v>90165</v>
      </c>
      <c r="F651" s="110">
        <v>90342</v>
      </c>
      <c r="G651" s="110">
        <v>90342</v>
      </c>
      <c r="I651" s="110">
        <v>18461.86</v>
      </c>
      <c r="J651" s="110">
        <v>33657.83</v>
      </c>
      <c r="K651" s="110">
        <v>43061.15</v>
      </c>
      <c r="L651" s="110">
        <v>46318.87</v>
      </c>
    </row>
    <row r="652" spans="1:12" x14ac:dyDescent="0.2">
      <c r="A652" t="s">
        <v>18</v>
      </c>
      <c r="B652" t="s">
        <v>105</v>
      </c>
      <c r="C652" t="s">
        <v>192</v>
      </c>
      <c r="D652" s="110">
        <v>114373</v>
      </c>
      <c r="E652" s="110">
        <v>113293</v>
      </c>
      <c r="F652" s="110">
        <v>113166</v>
      </c>
      <c r="I652" s="110">
        <v>18803.419999999998</v>
      </c>
      <c r="J652" s="110">
        <v>38834.660000000003</v>
      </c>
      <c r="K652" s="110">
        <v>47626.31</v>
      </c>
    </row>
    <row r="653" spans="1:12" x14ac:dyDescent="0.2">
      <c r="A653" t="s">
        <v>18</v>
      </c>
      <c r="B653" t="s">
        <v>105</v>
      </c>
      <c r="C653" t="s">
        <v>193</v>
      </c>
      <c r="D653" s="110">
        <v>86427.95</v>
      </c>
      <c r="E653" s="110">
        <v>85107.95</v>
      </c>
      <c r="I653" s="110">
        <v>13792.71</v>
      </c>
      <c r="J653" s="110">
        <v>28389.78</v>
      </c>
    </row>
    <row r="654" spans="1:12" x14ac:dyDescent="0.2">
      <c r="A654" t="s">
        <v>18</v>
      </c>
      <c r="B654" t="s">
        <v>105</v>
      </c>
      <c r="C654" t="s">
        <v>194</v>
      </c>
      <c r="D654" s="110">
        <v>79866</v>
      </c>
      <c r="I654" s="110">
        <v>10510.93</v>
      </c>
    </row>
    <row r="655" spans="1:12" x14ac:dyDescent="0.2">
      <c r="A655" t="s">
        <v>18</v>
      </c>
      <c r="B655" t="s">
        <v>111</v>
      </c>
      <c r="C655" t="s">
        <v>191</v>
      </c>
      <c r="D655" s="110">
        <v>2678</v>
      </c>
      <c r="E655" s="110">
        <v>2653</v>
      </c>
      <c r="F655" s="110">
        <v>2603</v>
      </c>
      <c r="G655" s="110">
        <v>2603</v>
      </c>
      <c r="I655" s="110">
        <v>66</v>
      </c>
      <c r="J655" s="110">
        <v>214</v>
      </c>
      <c r="K655" s="110">
        <v>284</v>
      </c>
      <c r="L655" s="110">
        <v>284</v>
      </c>
    </row>
    <row r="656" spans="1:12" x14ac:dyDescent="0.2">
      <c r="A656" t="s">
        <v>18</v>
      </c>
      <c r="B656" t="s">
        <v>111</v>
      </c>
      <c r="C656" t="s">
        <v>192</v>
      </c>
      <c r="D656" s="110">
        <v>4087</v>
      </c>
      <c r="E656" s="110">
        <v>4087</v>
      </c>
      <c r="F656" s="110">
        <v>4087</v>
      </c>
      <c r="I656" s="110">
        <v>296</v>
      </c>
      <c r="J656" s="110">
        <v>858.5</v>
      </c>
      <c r="K656" s="110">
        <v>965</v>
      </c>
    </row>
    <row r="657" spans="1:12" x14ac:dyDescent="0.2">
      <c r="A657" t="s">
        <v>18</v>
      </c>
      <c r="B657" t="s">
        <v>111</v>
      </c>
      <c r="C657" t="s">
        <v>193</v>
      </c>
      <c r="D657" s="110">
        <v>3448</v>
      </c>
      <c r="E657" s="110">
        <v>3448</v>
      </c>
      <c r="I657" s="110">
        <v>682</v>
      </c>
      <c r="J657" s="110">
        <v>732</v>
      </c>
    </row>
    <row r="658" spans="1:12" x14ac:dyDescent="0.2">
      <c r="A658" t="s">
        <v>18</v>
      </c>
      <c r="B658" t="s">
        <v>111</v>
      </c>
      <c r="C658" t="s">
        <v>194</v>
      </c>
      <c r="D658" s="110">
        <v>3688</v>
      </c>
      <c r="I658" s="110">
        <v>168</v>
      </c>
    </row>
    <row r="659" spans="1:12" x14ac:dyDescent="0.2">
      <c r="A659" t="s">
        <v>18</v>
      </c>
      <c r="B659" t="s">
        <v>109</v>
      </c>
      <c r="C659" t="s">
        <v>191</v>
      </c>
      <c r="D659" s="110">
        <v>94430</v>
      </c>
      <c r="E659" s="110">
        <v>93240</v>
      </c>
      <c r="F659" s="110">
        <v>93190</v>
      </c>
      <c r="G659" s="110">
        <v>93070</v>
      </c>
      <c r="I659" s="110">
        <v>28182.51</v>
      </c>
      <c r="J659" s="110">
        <v>46476.51</v>
      </c>
      <c r="K659" s="110">
        <v>56911.57</v>
      </c>
      <c r="L659" s="110">
        <v>61946.45</v>
      </c>
    </row>
    <row r="660" spans="1:12" x14ac:dyDescent="0.2">
      <c r="A660" t="s">
        <v>18</v>
      </c>
      <c r="B660" t="s">
        <v>109</v>
      </c>
      <c r="C660" t="s">
        <v>192</v>
      </c>
      <c r="D660" s="110">
        <v>108445</v>
      </c>
      <c r="E660" s="110">
        <v>108102</v>
      </c>
      <c r="F660" s="110">
        <v>108138</v>
      </c>
      <c r="I660" s="110">
        <v>38415</v>
      </c>
      <c r="J660" s="110">
        <v>59952.959999999999</v>
      </c>
      <c r="K660" s="110">
        <v>69274.38</v>
      </c>
    </row>
    <row r="661" spans="1:12" x14ac:dyDescent="0.2">
      <c r="A661" t="s">
        <v>18</v>
      </c>
      <c r="B661" t="s">
        <v>109</v>
      </c>
      <c r="C661" t="s">
        <v>193</v>
      </c>
      <c r="D661" s="110">
        <v>83006.5</v>
      </c>
      <c r="E661" s="110">
        <v>82406.5</v>
      </c>
      <c r="I661" s="110">
        <v>34670.04</v>
      </c>
      <c r="J661" s="110">
        <v>57312.22</v>
      </c>
    </row>
    <row r="662" spans="1:12" x14ac:dyDescent="0.2">
      <c r="A662" t="s">
        <v>18</v>
      </c>
      <c r="B662" t="s">
        <v>109</v>
      </c>
      <c r="C662" t="s">
        <v>194</v>
      </c>
      <c r="D662" s="110">
        <v>89202</v>
      </c>
      <c r="I662" s="110">
        <v>36091.19</v>
      </c>
    </row>
    <row r="663" spans="1:12" x14ac:dyDescent="0.2">
      <c r="A663" t="s">
        <v>18</v>
      </c>
      <c r="B663" t="s">
        <v>106</v>
      </c>
      <c r="C663" t="s">
        <v>191</v>
      </c>
      <c r="D663" s="110">
        <v>108296.28</v>
      </c>
      <c r="E663" s="110">
        <v>108296.28</v>
      </c>
      <c r="F663" s="110">
        <v>108298.78</v>
      </c>
      <c r="G663" s="110">
        <v>108298.78</v>
      </c>
      <c r="I663" s="110">
        <v>107275.28</v>
      </c>
      <c r="J663" s="110">
        <v>108105.28</v>
      </c>
      <c r="K663" s="110">
        <v>108107.78</v>
      </c>
      <c r="L663" s="110">
        <v>108107.78</v>
      </c>
    </row>
    <row r="664" spans="1:12" x14ac:dyDescent="0.2">
      <c r="A664" t="s">
        <v>18</v>
      </c>
      <c r="B664" t="s">
        <v>106</v>
      </c>
      <c r="C664" t="s">
        <v>192</v>
      </c>
      <c r="D664" s="110">
        <v>136071.25</v>
      </c>
      <c r="E664" s="110">
        <v>136071.25</v>
      </c>
      <c r="F664" s="110">
        <v>136071.25</v>
      </c>
      <c r="I664" s="110">
        <v>136051.25</v>
      </c>
      <c r="J664" s="110">
        <v>136071.25</v>
      </c>
      <c r="K664" s="110">
        <v>136071.25</v>
      </c>
    </row>
    <row r="665" spans="1:12" x14ac:dyDescent="0.2">
      <c r="A665" t="s">
        <v>18</v>
      </c>
      <c r="B665" t="s">
        <v>106</v>
      </c>
      <c r="C665" t="s">
        <v>193</v>
      </c>
      <c r="D665" s="110">
        <v>171473</v>
      </c>
      <c r="E665" s="110">
        <v>171473</v>
      </c>
      <c r="I665" s="110">
        <v>171423</v>
      </c>
      <c r="J665" s="110">
        <v>171473</v>
      </c>
    </row>
    <row r="666" spans="1:12" x14ac:dyDescent="0.2">
      <c r="A666" t="s">
        <v>18</v>
      </c>
      <c r="B666" t="s">
        <v>106</v>
      </c>
      <c r="C666" t="s">
        <v>194</v>
      </c>
      <c r="D666" s="110">
        <v>138582.60999999999</v>
      </c>
      <c r="I666" s="110">
        <v>138182.60999999999</v>
      </c>
    </row>
    <row r="667" spans="1:12" x14ac:dyDescent="0.2">
      <c r="A667" t="s">
        <v>18</v>
      </c>
      <c r="B667" t="s">
        <v>107</v>
      </c>
      <c r="C667" t="s">
        <v>191</v>
      </c>
      <c r="D667" s="110">
        <v>96598.88</v>
      </c>
      <c r="E667" s="110">
        <v>96288.88</v>
      </c>
      <c r="F667" s="110">
        <v>96288.88</v>
      </c>
      <c r="G667" s="110">
        <v>96288.88</v>
      </c>
      <c r="I667" s="110">
        <v>96288.88</v>
      </c>
      <c r="J667" s="110">
        <v>96288.88</v>
      </c>
      <c r="K667" s="110">
        <v>96288.88</v>
      </c>
      <c r="L667" s="110">
        <v>96288.88</v>
      </c>
    </row>
    <row r="668" spans="1:12" x14ac:dyDescent="0.2">
      <c r="A668" t="s">
        <v>18</v>
      </c>
      <c r="B668" t="s">
        <v>107</v>
      </c>
      <c r="C668" t="s">
        <v>192</v>
      </c>
      <c r="D668" s="110">
        <v>157492.98000000001</v>
      </c>
      <c r="E668" s="110">
        <v>157337.98000000001</v>
      </c>
      <c r="F668" s="110">
        <v>157337.98000000001</v>
      </c>
      <c r="I668" s="110">
        <v>157382.98000000001</v>
      </c>
      <c r="J668" s="110">
        <v>157337.98000000001</v>
      </c>
      <c r="K668" s="110">
        <v>157337.98000000001</v>
      </c>
    </row>
    <row r="669" spans="1:12" x14ac:dyDescent="0.2">
      <c r="A669" t="s">
        <v>18</v>
      </c>
      <c r="B669" t="s">
        <v>107</v>
      </c>
      <c r="C669" t="s">
        <v>193</v>
      </c>
      <c r="D669" s="110">
        <v>113818.15</v>
      </c>
      <c r="E669" s="110">
        <v>113818.15</v>
      </c>
      <c r="I669" s="110">
        <v>113818.15</v>
      </c>
      <c r="J669" s="110">
        <v>113818.15</v>
      </c>
    </row>
    <row r="670" spans="1:12" x14ac:dyDescent="0.2">
      <c r="A670" t="s">
        <v>18</v>
      </c>
      <c r="B670" t="s">
        <v>107</v>
      </c>
      <c r="C670" t="s">
        <v>194</v>
      </c>
      <c r="D670" s="110">
        <v>156805.29</v>
      </c>
      <c r="I670" s="110">
        <v>156481.29</v>
      </c>
    </row>
    <row r="671" spans="1:12" x14ac:dyDescent="0.2">
      <c r="A671" t="s">
        <v>18</v>
      </c>
      <c r="B671" t="s">
        <v>108</v>
      </c>
      <c r="C671" t="s">
        <v>191</v>
      </c>
      <c r="D671" s="110">
        <v>46825.5</v>
      </c>
      <c r="E671" s="110">
        <v>46430.5</v>
      </c>
      <c r="F671" s="110">
        <v>46430.5</v>
      </c>
      <c r="G671" s="110">
        <v>46430.5</v>
      </c>
      <c r="I671" s="110">
        <v>46425.5</v>
      </c>
      <c r="J671" s="110">
        <v>46430.5</v>
      </c>
      <c r="K671" s="110">
        <v>46430.5</v>
      </c>
      <c r="L671" s="110">
        <v>46430.5</v>
      </c>
    </row>
    <row r="672" spans="1:12" x14ac:dyDescent="0.2">
      <c r="A672" t="s">
        <v>18</v>
      </c>
      <c r="B672" t="s">
        <v>108</v>
      </c>
      <c r="C672" t="s">
        <v>192</v>
      </c>
      <c r="D672" s="110">
        <v>50114.16</v>
      </c>
      <c r="E672" s="110">
        <v>50114.16</v>
      </c>
      <c r="F672" s="110">
        <v>50114.16</v>
      </c>
      <c r="I672" s="110">
        <v>50114.16</v>
      </c>
      <c r="J672" s="110">
        <v>50114.16</v>
      </c>
      <c r="K672" s="110">
        <v>50114.16</v>
      </c>
    </row>
    <row r="673" spans="1:12" x14ac:dyDescent="0.2">
      <c r="A673" t="s">
        <v>18</v>
      </c>
      <c r="B673" t="s">
        <v>108</v>
      </c>
      <c r="C673" t="s">
        <v>193</v>
      </c>
      <c r="D673" s="110">
        <v>52299.08</v>
      </c>
      <c r="E673" s="110">
        <v>52299.08</v>
      </c>
      <c r="I673" s="110">
        <v>52299.08</v>
      </c>
      <c r="J673" s="110">
        <v>52299.08</v>
      </c>
    </row>
    <row r="674" spans="1:12" x14ac:dyDescent="0.2">
      <c r="A674" t="s">
        <v>18</v>
      </c>
      <c r="B674" t="s">
        <v>108</v>
      </c>
      <c r="C674" t="s">
        <v>194</v>
      </c>
      <c r="D674" s="110">
        <v>57261.760000000002</v>
      </c>
      <c r="I674" s="110">
        <v>57261.760000000002</v>
      </c>
    </row>
    <row r="675" spans="1:12" x14ac:dyDescent="0.2">
      <c r="A675" t="s">
        <v>18</v>
      </c>
      <c r="B675" t="s">
        <v>70</v>
      </c>
      <c r="C675" t="s">
        <v>191</v>
      </c>
      <c r="D675" s="110">
        <v>52722</v>
      </c>
      <c r="E675" s="110">
        <v>52722</v>
      </c>
      <c r="F675" s="110">
        <v>52722</v>
      </c>
      <c r="G675" s="110">
        <v>52420</v>
      </c>
      <c r="I675" s="110">
        <v>52420</v>
      </c>
      <c r="J675" s="110">
        <v>52420</v>
      </c>
      <c r="K675" s="110">
        <v>52420</v>
      </c>
      <c r="L675" s="110">
        <v>52420</v>
      </c>
    </row>
    <row r="676" spans="1:12" x14ac:dyDescent="0.2">
      <c r="A676" t="s">
        <v>18</v>
      </c>
      <c r="B676" t="s">
        <v>70</v>
      </c>
      <c r="C676" t="s">
        <v>192</v>
      </c>
      <c r="D676" s="110">
        <v>49175.5</v>
      </c>
      <c r="E676" s="110">
        <v>48455.5</v>
      </c>
      <c r="F676" s="110">
        <v>47207.5</v>
      </c>
      <c r="I676" s="110">
        <v>46621.5</v>
      </c>
      <c r="J676" s="110">
        <v>46825.5</v>
      </c>
      <c r="K676" s="110">
        <v>46927.5</v>
      </c>
    </row>
    <row r="677" spans="1:12" x14ac:dyDescent="0.2">
      <c r="A677" t="s">
        <v>18</v>
      </c>
      <c r="B677" t="s">
        <v>70</v>
      </c>
      <c r="C677" t="s">
        <v>193</v>
      </c>
      <c r="D677" s="110">
        <v>54663.5</v>
      </c>
      <c r="E677" s="110">
        <v>54232</v>
      </c>
      <c r="I677" s="110">
        <v>53381</v>
      </c>
      <c r="J677" s="110">
        <v>53694</v>
      </c>
    </row>
    <row r="678" spans="1:12" x14ac:dyDescent="0.2">
      <c r="A678" t="s">
        <v>18</v>
      </c>
      <c r="B678" t="s">
        <v>70</v>
      </c>
      <c r="C678" t="s">
        <v>194</v>
      </c>
      <c r="D678" s="110">
        <v>59765.5</v>
      </c>
      <c r="I678" s="110">
        <v>57520</v>
      </c>
    </row>
    <row r="679" spans="1:12" x14ac:dyDescent="0.2">
      <c r="A679" t="s">
        <v>18</v>
      </c>
      <c r="B679" t="s">
        <v>110</v>
      </c>
      <c r="C679" t="s">
        <v>191</v>
      </c>
      <c r="D679" s="110">
        <v>220680.6</v>
      </c>
      <c r="E679" s="110">
        <v>211930.35</v>
      </c>
      <c r="F679" s="110">
        <v>209357.35</v>
      </c>
      <c r="G679" s="110">
        <v>208686.35</v>
      </c>
      <c r="I679" s="110">
        <v>109461.93</v>
      </c>
      <c r="J679" s="110">
        <v>183503.4</v>
      </c>
      <c r="K679" s="110">
        <v>189214.85</v>
      </c>
      <c r="L679" s="110">
        <v>191405.85</v>
      </c>
    </row>
    <row r="680" spans="1:12" x14ac:dyDescent="0.2">
      <c r="A680" t="s">
        <v>18</v>
      </c>
      <c r="B680" t="s">
        <v>110</v>
      </c>
      <c r="C680" t="s">
        <v>192</v>
      </c>
      <c r="D680" s="110">
        <v>318679</v>
      </c>
      <c r="E680" s="110">
        <v>311952.34999999998</v>
      </c>
      <c r="F680" s="110">
        <v>310237.34999999998</v>
      </c>
      <c r="I680" s="110">
        <v>166464.4</v>
      </c>
      <c r="J680" s="110">
        <v>271699.92</v>
      </c>
      <c r="K680" s="110">
        <v>281726.43</v>
      </c>
    </row>
    <row r="681" spans="1:12" x14ac:dyDescent="0.2">
      <c r="A681" t="s">
        <v>18</v>
      </c>
      <c r="B681" t="s">
        <v>110</v>
      </c>
      <c r="C681" t="s">
        <v>193</v>
      </c>
      <c r="D681" s="110">
        <v>310263.59999999998</v>
      </c>
      <c r="E681" s="110">
        <v>302992.90000000002</v>
      </c>
      <c r="I681" s="110">
        <v>160948.45000000001</v>
      </c>
      <c r="J681" s="110">
        <v>256037.55</v>
      </c>
    </row>
    <row r="682" spans="1:12" x14ac:dyDescent="0.2">
      <c r="A682" t="s">
        <v>18</v>
      </c>
      <c r="B682" t="s">
        <v>110</v>
      </c>
      <c r="C682" t="s">
        <v>194</v>
      </c>
      <c r="D682" s="110">
        <v>333225.25</v>
      </c>
      <c r="I682" s="110">
        <v>166671.18</v>
      </c>
    </row>
    <row r="683" spans="1:12" x14ac:dyDescent="0.2">
      <c r="A683" t="s">
        <v>19</v>
      </c>
      <c r="B683" t="s">
        <v>104</v>
      </c>
      <c r="C683" t="s">
        <v>191</v>
      </c>
      <c r="D683" s="110">
        <v>48114</v>
      </c>
      <c r="E683" s="110">
        <v>48114</v>
      </c>
      <c r="F683" s="110">
        <v>48114</v>
      </c>
      <c r="G683" s="110">
        <v>48114</v>
      </c>
      <c r="I683" s="110">
        <v>292</v>
      </c>
      <c r="J683" s="110">
        <v>394</v>
      </c>
      <c r="K683" s="110">
        <v>3045.93</v>
      </c>
      <c r="L683" s="110">
        <v>4003.87</v>
      </c>
    </row>
    <row r="684" spans="1:12" x14ac:dyDescent="0.2">
      <c r="A684" t="s">
        <v>19</v>
      </c>
      <c r="B684" t="s">
        <v>104</v>
      </c>
      <c r="C684" t="s">
        <v>192</v>
      </c>
      <c r="D684" s="110">
        <v>39611</v>
      </c>
      <c r="E684" s="110">
        <v>39611</v>
      </c>
      <c r="F684" s="110">
        <v>39611</v>
      </c>
      <c r="I684" s="110">
        <v>1066.54</v>
      </c>
      <c r="J684" s="110">
        <v>2849.27</v>
      </c>
      <c r="K684" s="110">
        <v>4136.8900000000003</v>
      </c>
    </row>
    <row r="685" spans="1:12" x14ac:dyDescent="0.2">
      <c r="A685" t="s">
        <v>19</v>
      </c>
      <c r="B685" t="s">
        <v>104</v>
      </c>
      <c r="C685" t="s">
        <v>193</v>
      </c>
      <c r="D685" s="110">
        <v>53959</v>
      </c>
      <c r="E685" s="110">
        <v>53209</v>
      </c>
      <c r="I685" s="110">
        <v>256</v>
      </c>
      <c r="J685" s="110">
        <v>798.3</v>
      </c>
    </row>
    <row r="686" spans="1:12" x14ac:dyDescent="0.2">
      <c r="A686" t="s">
        <v>19</v>
      </c>
      <c r="B686" t="s">
        <v>104</v>
      </c>
      <c r="C686" t="s">
        <v>194</v>
      </c>
      <c r="D686" s="110">
        <v>46338</v>
      </c>
      <c r="I686" s="110">
        <v>316.61</v>
      </c>
    </row>
    <row r="687" spans="1:12" x14ac:dyDescent="0.2">
      <c r="A687" t="s">
        <v>19</v>
      </c>
      <c r="B687" t="s">
        <v>140</v>
      </c>
      <c r="C687" t="s">
        <v>191</v>
      </c>
    </row>
    <row r="688" spans="1:12" x14ac:dyDescent="0.2">
      <c r="A688" t="s">
        <v>19</v>
      </c>
      <c r="B688" t="s">
        <v>140</v>
      </c>
      <c r="C688" t="s">
        <v>192</v>
      </c>
    </row>
    <row r="689" spans="1:12" x14ac:dyDescent="0.2">
      <c r="A689" t="s">
        <v>19</v>
      </c>
      <c r="B689" t="s">
        <v>140</v>
      </c>
      <c r="C689" t="s">
        <v>193</v>
      </c>
    </row>
    <row r="690" spans="1:12" x14ac:dyDescent="0.2">
      <c r="A690" t="s">
        <v>19</v>
      </c>
      <c r="B690" t="s">
        <v>140</v>
      </c>
      <c r="C690" t="s">
        <v>194</v>
      </c>
    </row>
    <row r="691" spans="1:12" x14ac:dyDescent="0.2">
      <c r="A691" t="s">
        <v>19</v>
      </c>
      <c r="B691" t="s">
        <v>105</v>
      </c>
      <c r="C691" t="s">
        <v>191</v>
      </c>
      <c r="D691" s="110">
        <v>36603</v>
      </c>
      <c r="E691" s="110">
        <v>36553</v>
      </c>
      <c r="F691" s="110">
        <v>36553</v>
      </c>
      <c r="G691" s="110">
        <v>36553</v>
      </c>
      <c r="I691" s="110">
        <v>9283</v>
      </c>
      <c r="J691" s="110">
        <v>13454</v>
      </c>
      <c r="K691" s="110">
        <v>14759</v>
      </c>
      <c r="L691" s="110">
        <v>15284</v>
      </c>
    </row>
    <row r="692" spans="1:12" x14ac:dyDescent="0.2">
      <c r="A692" t="s">
        <v>19</v>
      </c>
      <c r="B692" t="s">
        <v>105</v>
      </c>
      <c r="C692" t="s">
        <v>192</v>
      </c>
      <c r="D692" s="110">
        <v>37523</v>
      </c>
      <c r="E692" s="110">
        <v>37523</v>
      </c>
      <c r="F692" s="110">
        <v>37523</v>
      </c>
      <c r="I692" s="110">
        <v>8615</v>
      </c>
      <c r="J692" s="110">
        <v>14125.5</v>
      </c>
      <c r="K692" s="110">
        <v>15865.87</v>
      </c>
    </row>
    <row r="693" spans="1:12" x14ac:dyDescent="0.2">
      <c r="A693" t="s">
        <v>19</v>
      </c>
      <c r="B693" t="s">
        <v>105</v>
      </c>
      <c r="C693" t="s">
        <v>193</v>
      </c>
      <c r="D693" s="110">
        <v>42819</v>
      </c>
      <c r="E693" s="110">
        <v>42819</v>
      </c>
      <c r="I693" s="110">
        <v>7147</v>
      </c>
      <c r="J693" s="110">
        <v>9886.6</v>
      </c>
    </row>
    <row r="694" spans="1:12" x14ac:dyDescent="0.2">
      <c r="A694" t="s">
        <v>19</v>
      </c>
      <c r="B694" t="s">
        <v>105</v>
      </c>
      <c r="C694" t="s">
        <v>194</v>
      </c>
      <c r="D694" s="110">
        <v>47930.5</v>
      </c>
      <c r="I694" s="110">
        <v>8804.5</v>
      </c>
    </row>
    <row r="695" spans="1:12" x14ac:dyDescent="0.2">
      <c r="A695" t="s">
        <v>19</v>
      </c>
      <c r="B695" t="s">
        <v>111</v>
      </c>
      <c r="C695" t="s">
        <v>191</v>
      </c>
      <c r="D695" s="110">
        <v>35.5</v>
      </c>
      <c r="E695" s="110">
        <v>35.5</v>
      </c>
      <c r="F695" s="110">
        <v>35.5</v>
      </c>
      <c r="G695" s="110">
        <v>35.5</v>
      </c>
      <c r="I695" s="110">
        <v>35.5</v>
      </c>
      <c r="J695" s="110">
        <v>35.5</v>
      </c>
      <c r="K695" s="110">
        <v>35.5</v>
      </c>
      <c r="L695" s="110">
        <v>35.5</v>
      </c>
    </row>
    <row r="696" spans="1:12" x14ac:dyDescent="0.2">
      <c r="A696" t="s">
        <v>19</v>
      </c>
      <c r="B696" t="s">
        <v>111</v>
      </c>
      <c r="C696" t="s">
        <v>192</v>
      </c>
      <c r="D696" s="110">
        <v>303.5</v>
      </c>
      <c r="E696" s="110">
        <v>303.5</v>
      </c>
      <c r="F696" s="110">
        <v>303.5</v>
      </c>
      <c r="I696" s="110">
        <v>3.5</v>
      </c>
      <c r="J696" s="110">
        <v>28.5</v>
      </c>
      <c r="K696" s="110">
        <v>28.5</v>
      </c>
    </row>
    <row r="697" spans="1:12" x14ac:dyDescent="0.2">
      <c r="A697" t="s">
        <v>19</v>
      </c>
      <c r="B697" t="s">
        <v>111</v>
      </c>
      <c r="C697" t="s">
        <v>193</v>
      </c>
      <c r="D697" s="110">
        <v>303.5</v>
      </c>
      <c r="E697" s="110">
        <v>303.5</v>
      </c>
      <c r="I697" s="110">
        <v>3.5</v>
      </c>
      <c r="J697" s="110">
        <v>3.5</v>
      </c>
    </row>
    <row r="698" spans="1:12" x14ac:dyDescent="0.2">
      <c r="A698" t="s">
        <v>19</v>
      </c>
      <c r="B698" t="s">
        <v>111</v>
      </c>
      <c r="C698" t="s">
        <v>194</v>
      </c>
      <c r="D698" s="110">
        <v>468.5</v>
      </c>
      <c r="I698" s="110">
        <v>17.5</v>
      </c>
    </row>
    <row r="699" spans="1:12" x14ac:dyDescent="0.2">
      <c r="A699" t="s">
        <v>19</v>
      </c>
      <c r="B699" t="s">
        <v>109</v>
      </c>
      <c r="C699" t="s">
        <v>191</v>
      </c>
      <c r="D699" s="110">
        <v>21310</v>
      </c>
      <c r="E699" s="110">
        <v>21285</v>
      </c>
      <c r="F699" s="110">
        <v>21285</v>
      </c>
      <c r="G699" s="110">
        <v>21285</v>
      </c>
      <c r="I699" s="110">
        <v>5089</v>
      </c>
      <c r="J699" s="110">
        <v>8141</v>
      </c>
      <c r="K699" s="110">
        <v>8691</v>
      </c>
      <c r="L699" s="110">
        <v>9116</v>
      </c>
    </row>
    <row r="700" spans="1:12" x14ac:dyDescent="0.2">
      <c r="A700" t="s">
        <v>19</v>
      </c>
      <c r="B700" t="s">
        <v>109</v>
      </c>
      <c r="C700" t="s">
        <v>192</v>
      </c>
      <c r="D700" s="110">
        <v>30348</v>
      </c>
      <c r="E700" s="110">
        <v>30348</v>
      </c>
      <c r="F700" s="110">
        <v>30348</v>
      </c>
      <c r="I700" s="110">
        <v>8808</v>
      </c>
      <c r="J700" s="110">
        <v>11970</v>
      </c>
      <c r="K700" s="110">
        <v>13306</v>
      </c>
    </row>
    <row r="701" spans="1:12" x14ac:dyDescent="0.2">
      <c r="A701" t="s">
        <v>19</v>
      </c>
      <c r="B701" t="s">
        <v>109</v>
      </c>
      <c r="C701" t="s">
        <v>193</v>
      </c>
      <c r="D701" s="110">
        <v>20816</v>
      </c>
      <c r="E701" s="110">
        <v>20816</v>
      </c>
      <c r="I701" s="110">
        <v>6918</v>
      </c>
      <c r="J701" s="110">
        <v>9807</v>
      </c>
    </row>
    <row r="702" spans="1:12" x14ac:dyDescent="0.2">
      <c r="A702" t="s">
        <v>19</v>
      </c>
      <c r="B702" t="s">
        <v>109</v>
      </c>
      <c r="C702" t="s">
        <v>194</v>
      </c>
      <c r="D702" s="110">
        <v>20604</v>
      </c>
      <c r="I702" s="110">
        <v>5459</v>
      </c>
    </row>
    <row r="703" spans="1:12" x14ac:dyDescent="0.2">
      <c r="A703" t="s">
        <v>19</v>
      </c>
      <c r="B703" t="s">
        <v>106</v>
      </c>
      <c r="C703" t="s">
        <v>191</v>
      </c>
      <c r="D703" s="110">
        <v>12210</v>
      </c>
      <c r="E703" s="110">
        <v>12210</v>
      </c>
      <c r="F703" s="110">
        <v>12280</v>
      </c>
      <c r="G703" s="110">
        <v>12280</v>
      </c>
      <c r="I703" s="110">
        <v>12210</v>
      </c>
      <c r="J703" s="110">
        <v>12210</v>
      </c>
      <c r="K703" s="110">
        <v>12280</v>
      </c>
      <c r="L703" s="110">
        <v>12280</v>
      </c>
    </row>
    <row r="704" spans="1:12" x14ac:dyDescent="0.2">
      <c r="A704" t="s">
        <v>19</v>
      </c>
      <c r="B704" t="s">
        <v>106</v>
      </c>
      <c r="C704" t="s">
        <v>192</v>
      </c>
      <c r="D704" s="110">
        <v>16535</v>
      </c>
      <c r="E704" s="110">
        <v>16465</v>
      </c>
      <c r="F704" s="110">
        <v>16465</v>
      </c>
      <c r="I704" s="110">
        <v>16125</v>
      </c>
      <c r="J704" s="110">
        <v>16465</v>
      </c>
      <c r="K704" s="110">
        <v>16465</v>
      </c>
    </row>
    <row r="705" spans="1:12" x14ac:dyDescent="0.2">
      <c r="A705" t="s">
        <v>19</v>
      </c>
      <c r="B705" t="s">
        <v>106</v>
      </c>
      <c r="C705" t="s">
        <v>193</v>
      </c>
      <c r="D705" s="110">
        <v>18790</v>
      </c>
      <c r="E705" s="110">
        <v>18790</v>
      </c>
      <c r="I705" s="110">
        <v>18790</v>
      </c>
      <c r="J705" s="110">
        <v>18790</v>
      </c>
    </row>
    <row r="706" spans="1:12" x14ac:dyDescent="0.2">
      <c r="A706" t="s">
        <v>19</v>
      </c>
      <c r="B706" t="s">
        <v>106</v>
      </c>
      <c r="C706" t="s">
        <v>194</v>
      </c>
      <c r="D706" s="110">
        <v>21020</v>
      </c>
      <c r="I706" s="110">
        <v>21020</v>
      </c>
    </row>
    <row r="707" spans="1:12" x14ac:dyDescent="0.2">
      <c r="A707" t="s">
        <v>19</v>
      </c>
      <c r="B707" t="s">
        <v>107</v>
      </c>
      <c r="C707" t="s">
        <v>191</v>
      </c>
      <c r="D707" s="110">
        <v>4380</v>
      </c>
      <c r="E707" s="110">
        <v>4380</v>
      </c>
      <c r="F707" s="110">
        <v>4380</v>
      </c>
      <c r="G707" s="110">
        <v>4380</v>
      </c>
      <c r="I707" s="110">
        <v>4195</v>
      </c>
      <c r="J707" s="110">
        <v>4380</v>
      </c>
      <c r="K707" s="110">
        <v>4380</v>
      </c>
      <c r="L707" s="110">
        <v>4380</v>
      </c>
    </row>
    <row r="708" spans="1:12" x14ac:dyDescent="0.2">
      <c r="A708" t="s">
        <v>19</v>
      </c>
      <c r="B708" t="s">
        <v>107</v>
      </c>
      <c r="C708" t="s">
        <v>192</v>
      </c>
      <c r="D708" s="110">
        <v>5715</v>
      </c>
      <c r="E708" s="110">
        <v>5715</v>
      </c>
      <c r="F708" s="110">
        <v>5715</v>
      </c>
      <c r="I708" s="110">
        <v>5715</v>
      </c>
      <c r="J708" s="110">
        <v>5715</v>
      </c>
      <c r="K708" s="110">
        <v>5715</v>
      </c>
    </row>
    <row r="709" spans="1:12" x14ac:dyDescent="0.2">
      <c r="A709" t="s">
        <v>19</v>
      </c>
      <c r="B709" t="s">
        <v>107</v>
      </c>
      <c r="C709" t="s">
        <v>193</v>
      </c>
      <c r="D709" s="110">
        <v>7447</v>
      </c>
      <c r="E709" s="110">
        <v>7447</v>
      </c>
      <c r="I709" s="110">
        <v>7362</v>
      </c>
      <c r="J709" s="110">
        <v>7447</v>
      </c>
    </row>
    <row r="710" spans="1:12" x14ac:dyDescent="0.2">
      <c r="A710" t="s">
        <v>19</v>
      </c>
      <c r="B710" t="s">
        <v>107</v>
      </c>
      <c r="C710" t="s">
        <v>194</v>
      </c>
      <c r="D710" s="110">
        <v>3995</v>
      </c>
      <c r="I710" s="110">
        <v>3995</v>
      </c>
    </row>
    <row r="711" spans="1:12" x14ac:dyDescent="0.2">
      <c r="A711" t="s">
        <v>19</v>
      </c>
      <c r="B711" t="s">
        <v>108</v>
      </c>
      <c r="C711" t="s">
        <v>191</v>
      </c>
      <c r="D711" s="110">
        <v>5041</v>
      </c>
      <c r="E711" s="110">
        <v>5041</v>
      </c>
      <c r="F711" s="110">
        <v>5041</v>
      </c>
      <c r="G711" s="110">
        <v>5041</v>
      </c>
      <c r="I711" s="110">
        <v>5041</v>
      </c>
      <c r="J711" s="110">
        <v>5041</v>
      </c>
      <c r="K711" s="110">
        <v>5041</v>
      </c>
      <c r="L711" s="110">
        <v>5041</v>
      </c>
    </row>
    <row r="712" spans="1:12" x14ac:dyDescent="0.2">
      <c r="A712" t="s">
        <v>19</v>
      </c>
      <c r="B712" t="s">
        <v>108</v>
      </c>
      <c r="C712" t="s">
        <v>192</v>
      </c>
      <c r="D712" s="110">
        <v>6621</v>
      </c>
      <c r="E712" s="110">
        <v>6621</v>
      </c>
      <c r="F712" s="110">
        <v>6621</v>
      </c>
      <c r="I712" s="110">
        <v>6621</v>
      </c>
      <c r="J712" s="110">
        <v>6621</v>
      </c>
      <c r="K712" s="110">
        <v>6621</v>
      </c>
    </row>
    <row r="713" spans="1:12" x14ac:dyDescent="0.2">
      <c r="A713" t="s">
        <v>19</v>
      </c>
      <c r="B713" t="s">
        <v>108</v>
      </c>
      <c r="C713" t="s">
        <v>193</v>
      </c>
      <c r="D713" s="110">
        <v>7457</v>
      </c>
      <c r="E713" s="110">
        <v>7457</v>
      </c>
      <c r="I713" s="110">
        <v>7457</v>
      </c>
      <c r="J713" s="110">
        <v>7457</v>
      </c>
    </row>
    <row r="714" spans="1:12" x14ac:dyDescent="0.2">
      <c r="A714" t="s">
        <v>19</v>
      </c>
      <c r="B714" t="s">
        <v>108</v>
      </c>
      <c r="C714" t="s">
        <v>194</v>
      </c>
      <c r="D714" s="110">
        <v>4176</v>
      </c>
      <c r="I714" s="110">
        <v>4176</v>
      </c>
    </row>
    <row r="715" spans="1:12" x14ac:dyDescent="0.2">
      <c r="A715" t="s">
        <v>19</v>
      </c>
      <c r="B715" t="s">
        <v>70</v>
      </c>
      <c r="C715" t="s">
        <v>191</v>
      </c>
      <c r="D715" s="110">
        <v>2490</v>
      </c>
      <c r="E715" s="110">
        <v>2490</v>
      </c>
      <c r="F715" s="110">
        <v>2490</v>
      </c>
      <c r="G715" s="110">
        <v>2490</v>
      </c>
      <c r="I715" s="110">
        <v>2490</v>
      </c>
      <c r="J715" s="110">
        <v>2490</v>
      </c>
      <c r="K715" s="110">
        <v>2490</v>
      </c>
      <c r="L715" s="110">
        <v>2490</v>
      </c>
    </row>
    <row r="716" spans="1:12" x14ac:dyDescent="0.2">
      <c r="A716" t="s">
        <v>19</v>
      </c>
      <c r="B716" t="s">
        <v>70</v>
      </c>
      <c r="C716" t="s">
        <v>192</v>
      </c>
      <c r="D716" s="110">
        <v>3109.5</v>
      </c>
      <c r="E716" s="110">
        <v>3109.5</v>
      </c>
      <c r="F716" s="110">
        <v>3109.5</v>
      </c>
      <c r="I716" s="110">
        <v>3109.5</v>
      </c>
      <c r="J716" s="110">
        <v>3109.5</v>
      </c>
      <c r="K716" s="110">
        <v>3109.5</v>
      </c>
    </row>
    <row r="717" spans="1:12" x14ac:dyDescent="0.2">
      <c r="A717" t="s">
        <v>19</v>
      </c>
      <c r="B717" t="s">
        <v>70</v>
      </c>
      <c r="C717" t="s">
        <v>193</v>
      </c>
      <c r="D717" s="110">
        <v>8359.5</v>
      </c>
      <c r="E717" s="110">
        <v>8359.5</v>
      </c>
      <c r="I717" s="110">
        <v>8359.5</v>
      </c>
      <c r="J717" s="110">
        <v>8359.5</v>
      </c>
    </row>
    <row r="718" spans="1:12" x14ac:dyDescent="0.2">
      <c r="A718" t="s">
        <v>19</v>
      </c>
      <c r="B718" t="s">
        <v>70</v>
      </c>
      <c r="C718" t="s">
        <v>194</v>
      </c>
      <c r="D718" s="110">
        <v>7233.5</v>
      </c>
      <c r="I718" s="110">
        <v>5786</v>
      </c>
    </row>
    <row r="719" spans="1:12" x14ac:dyDescent="0.2">
      <c r="A719" t="s">
        <v>19</v>
      </c>
      <c r="B719" t="s">
        <v>110</v>
      </c>
      <c r="C719" t="s">
        <v>191</v>
      </c>
      <c r="D719" s="110">
        <v>29655.5</v>
      </c>
      <c r="E719" s="110">
        <v>27804</v>
      </c>
      <c r="F719" s="110">
        <v>27761</v>
      </c>
      <c r="G719" s="110">
        <v>27761</v>
      </c>
      <c r="I719" s="110">
        <v>15549</v>
      </c>
      <c r="J719" s="110">
        <v>22932.25</v>
      </c>
      <c r="K719" s="110">
        <v>23840.5</v>
      </c>
      <c r="L719" s="110">
        <v>24061.5</v>
      </c>
    </row>
    <row r="720" spans="1:12" x14ac:dyDescent="0.2">
      <c r="A720" t="s">
        <v>19</v>
      </c>
      <c r="B720" t="s">
        <v>110</v>
      </c>
      <c r="C720" t="s">
        <v>192</v>
      </c>
      <c r="D720" s="110">
        <v>26246.15</v>
      </c>
      <c r="E720" s="110">
        <v>24049.4</v>
      </c>
      <c r="F720" s="110">
        <v>23195.4</v>
      </c>
      <c r="I720" s="110">
        <v>8781.15</v>
      </c>
      <c r="J720" s="110">
        <v>17517.28</v>
      </c>
      <c r="K720" s="110">
        <v>18404.28</v>
      </c>
    </row>
    <row r="721" spans="1:12" x14ac:dyDescent="0.2">
      <c r="A721" t="s">
        <v>19</v>
      </c>
      <c r="B721" t="s">
        <v>110</v>
      </c>
      <c r="C721" t="s">
        <v>193</v>
      </c>
      <c r="D721" s="110">
        <v>23145.75</v>
      </c>
      <c r="E721" s="110">
        <v>21786.75</v>
      </c>
      <c r="I721" s="110">
        <v>11219.25</v>
      </c>
      <c r="J721" s="110">
        <v>17087.25</v>
      </c>
    </row>
    <row r="722" spans="1:12" x14ac:dyDescent="0.2">
      <c r="A722" t="s">
        <v>19</v>
      </c>
      <c r="B722" t="s">
        <v>110</v>
      </c>
      <c r="C722" t="s">
        <v>194</v>
      </c>
      <c r="D722" s="110">
        <v>20343.5</v>
      </c>
      <c r="I722" s="110">
        <v>10352.18</v>
      </c>
    </row>
    <row r="723" spans="1:12" x14ac:dyDescent="0.2">
      <c r="A723" t="s">
        <v>20</v>
      </c>
      <c r="B723" t="s">
        <v>104</v>
      </c>
      <c r="C723" t="s">
        <v>191</v>
      </c>
      <c r="D723" s="110">
        <v>115144</v>
      </c>
      <c r="E723" s="110">
        <v>115744</v>
      </c>
      <c r="F723" s="110">
        <v>118394</v>
      </c>
      <c r="G723" s="110">
        <v>118244</v>
      </c>
      <c r="I723" s="110">
        <v>2733</v>
      </c>
      <c r="J723" s="110">
        <v>4544</v>
      </c>
      <c r="K723" s="110">
        <v>5737.5</v>
      </c>
      <c r="L723" s="110">
        <v>10026</v>
      </c>
    </row>
    <row r="724" spans="1:12" x14ac:dyDescent="0.2">
      <c r="A724" t="s">
        <v>20</v>
      </c>
      <c r="B724" t="s">
        <v>104</v>
      </c>
      <c r="C724" t="s">
        <v>192</v>
      </c>
      <c r="D724" s="110">
        <v>70292</v>
      </c>
      <c r="E724" s="110">
        <v>73192</v>
      </c>
      <c r="F724" s="110">
        <v>73062</v>
      </c>
      <c r="I724" s="110">
        <v>2218</v>
      </c>
      <c r="J724" s="110">
        <v>7037</v>
      </c>
      <c r="K724" s="110">
        <v>8507</v>
      </c>
    </row>
    <row r="725" spans="1:12" x14ac:dyDescent="0.2">
      <c r="A725" t="s">
        <v>20</v>
      </c>
      <c r="B725" t="s">
        <v>104</v>
      </c>
      <c r="C725" t="s">
        <v>193</v>
      </c>
      <c r="D725" s="110">
        <v>74289</v>
      </c>
      <c r="E725" s="110">
        <v>74289</v>
      </c>
      <c r="I725" s="110">
        <v>1039</v>
      </c>
      <c r="J725" s="110">
        <v>3312.24</v>
      </c>
    </row>
    <row r="726" spans="1:12" x14ac:dyDescent="0.2">
      <c r="A726" t="s">
        <v>20</v>
      </c>
      <c r="B726" t="s">
        <v>104</v>
      </c>
      <c r="C726" t="s">
        <v>194</v>
      </c>
      <c r="D726" s="110">
        <v>54533</v>
      </c>
      <c r="I726" s="110">
        <v>565</v>
      </c>
    </row>
    <row r="727" spans="1:12" x14ac:dyDescent="0.2">
      <c r="A727" t="s">
        <v>20</v>
      </c>
      <c r="B727" t="s">
        <v>140</v>
      </c>
      <c r="C727" t="s">
        <v>191</v>
      </c>
      <c r="D727" s="110">
        <v>70521</v>
      </c>
      <c r="E727" s="110">
        <v>70171</v>
      </c>
      <c r="F727" s="110">
        <v>70171</v>
      </c>
      <c r="G727" s="110">
        <v>70171</v>
      </c>
      <c r="I727" s="110">
        <v>1435</v>
      </c>
      <c r="J727" s="110">
        <v>3875</v>
      </c>
      <c r="K727" s="110">
        <v>4545</v>
      </c>
      <c r="L727" s="110">
        <v>5195</v>
      </c>
    </row>
    <row r="728" spans="1:12" x14ac:dyDescent="0.2">
      <c r="A728" t="s">
        <v>20</v>
      </c>
      <c r="B728" t="s">
        <v>140</v>
      </c>
      <c r="C728" t="s">
        <v>192</v>
      </c>
      <c r="D728" s="110">
        <v>27388</v>
      </c>
      <c r="E728" s="110">
        <v>27518</v>
      </c>
      <c r="F728" s="110">
        <v>27538</v>
      </c>
      <c r="I728" s="110">
        <v>665</v>
      </c>
      <c r="J728" s="110">
        <v>4351</v>
      </c>
      <c r="K728" s="110">
        <v>5641</v>
      </c>
    </row>
    <row r="729" spans="1:12" x14ac:dyDescent="0.2">
      <c r="A729" t="s">
        <v>20</v>
      </c>
      <c r="B729" t="s">
        <v>140</v>
      </c>
      <c r="C729" t="s">
        <v>193</v>
      </c>
      <c r="D729" s="110">
        <v>38569</v>
      </c>
      <c r="E729" s="110">
        <v>38299</v>
      </c>
      <c r="I729" s="110">
        <v>2086</v>
      </c>
      <c r="J729" s="110">
        <v>6019.82</v>
      </c>
    </row>
    <row r="730" spans="1:12" x14ac:dyDescent="0.2">
      <c r="A730" t="s">
        <v>20</v>
      </c>
      <c r="B730" t="s">
        <v>140</v>
      </c>
      <c r="C730" t="s">
        <v>194</v>
      </c>
      <c r="D730" s="110">
        <v>21736</v>
      </c>
      <c r="I730" s="110">
        <v>1115</v>
      </c>
    </row>
    <row r="731" spans="1:12" x14ac:dyDescent="0.2">
      <c r="A731" t="s">
        <v>20</v>
      </c>
      <c r="B731" t="s">
        <v>105</v>
      </c>
      <c r="C731" t="s">
        <v>191</v>
      </c>
      <c r="D731" s="110">
        <v>58186.5</v>
      </c>
      <c r="E731" s="110">
        <v>54261.5</v>
      </c>
      <c r="F731" s="110">
        <v>53181.5</v>
      </c>
      <c r="G731" s="110">
        <v>52031.5</v>
      </c>
      <c r="I731" s="110">
        <v>3468.5</v>
      </c>
      <c r="J731" s="110">
        <v>9950.5</v>
      </c>
      <c r="K731" s="110">
        <v>13094</v>
      </c>
      <c r="L731" s="110">
        <v>15496</v>
      </c>
    </row>
    <row r="732" spans="1:12" x14ac:dyDescent="0.2">
      <c r="A732" t="s">
        <v>20</v>
      </c>
      <c r="B732" t="s">
        <v>105</v>
      </c>
      <c r="C732" t="s">
        <v>192</v>
      </c>
      <c r="D732" s="110">
        <v>37166</v>
      </c>
      <c r="E732" s="110">
        <v>35461</v>
      </c>
      <c r="F732" s="110">
        <v>35261</v>
      </c>
      <c r="I732" s="110">
        <v>2599</v>
      </c>
      <c r="J732" s="110">
        <v>9843</v>
      </c>
      <c r="K732" s="110">
        <v>11781</v>
      </c>
    </row>
    <row r="733" spans="1:12" x14ac:dyDescent="0.2">
      <c r="A733" t="s">
        <v>20</v>
      </c>
      <c r="B733" t="s">
        <v>105</v>
      </c>
      <c r="C733" t="s">
        <v>193</v>
      </c>
      <c r="D733" s="110">
        <v>40666</v>
      </c>
      <c r="E733" s="110">
        <v>39841</v>
      </c>
      <c r="I733" s="110">
        <v>4011</v>
      </c>
      <c r="J733" s="110">
        <v>8810.23</v>
      </c>
    </row>
    <row r="734" spans="1:12" x14ac:dyDescent="0.2">
      <c r="A734" t="s">
        <v>20</v>
      </c>
      <c r="B734" t="s">
        <v>105</v>
      </c>
      <c r="C734" t="s">
        <v>194</v>
      </c>
      <c r="D734" s="110">
        <v>34323</v>
      </c>
      <c r="I734" s="110">
        <v>2482</v>
      </c>
    </row>
    <row r="735" spans="1:12" x14ac:dyDescent="0.2">
      <c r="A735" t="s">
        <v>20</v>
      </c>
      <c r="B735" t="s">
        <v>111</v>
      </c>
      <c r="C735" t="s">
        <v>191</v>
      </c>
      <c r="D735" s="110">
        <v>3828</v>
      </c>
      <c r="E735" s="110">
        <v>3828</v>
      </c>
      <c r="F735" s="110">
        <v>3400</v>
      </c>
      <c r="G735" s="110">
        <v>3400</v>
      </c>
      <c r="I735" s="110">
        <v>50</v>
      </c>
      <c r="J735" s="110">
        <v>113</v>
      </c>
      <c r="K735" s="110">
        <v>513</v>
      </c>
      <c r="L735" s="110">
        <v>513</v>
      </c>
    </row>
    <row r="736" spans="1:12" x14ac:dyDescent="0.2">
      <c r="A736" t="s">
        <v>20</v>
      </c>
      <c r="B736" t="s">
        <v>111</v>
      </c>
      <c r="C736" t="s">
        <v>192</v>
      </c>
      <c r="D736" s="110">
        <v>1920</v>
      </c>
      <c r="E736" s="110">
        <v>1920</v>
      </c>
      <c r="F736" s="110">
        <v>1920</v>
      </c>
      <c r="J736" s="110">
        <v>63</v>
      </c>
      <c r="K736" s="110">
        <v>63</v>
      </c>
    </row>
    <row r="737" spans="1:12" x14ac:dyDescent="0.2">
      <c r="A737" t="s">
        <v>20</v>
      </c>
      <c r="B737" t="s">
        <v>111</v>
      </c>
      <c r="C737" t="s">
        <v>193</v>
      </c>
      <c r="D737" s="110">
        <v>4520</v>
      </c>
      <c r="E737" s="110">
        <v>4520</v>
      </c>
    </row>
    <row r="738" spans="1:12" x14ac:dyDescent="0.2">
      <c r="A738" t="s">
        <v>20</v>
      </c>
      <c r="B738" t="s">
        <v>111</v>
      </c>
      <c r="C738" t="s">
        <v>194</v>
      </c>
      <c r="D738" s="110">
        <v>3720</v>
      </c>
      <c r="I738" s="110">
        <v>150</v>
      </c>
    </row>
    <row r="739" spans="1:12" x14ac:dyDescent="0.2">
      <c r="A739" t="s">
        <v>20</v>
      </c>
      <c r="B739" t="s">
        <v>109</v>
      </c>
      <c r="C739" t="s">
        <v>191</v>
      </c>
      <c r="D739" s="110">
        <v>110014</v>
      </c>
      <c r="E739" s="110">
        <v>107685</v>
      </c>
      <c r="F739" s="110">
        <v>105540</v>
      </c>
      <c r="G739" s="110">
        <v>103433</v>
      </c>
      <c r="I739" s="110">
        <v>25940.91</v>
      </c>
      <c r="J739" s="110">
        <v>40636.410000000003</v>
      </c>
      <c r="K739" s="110">
        <v>50112.67</v>
      </c>
      <c r="L739" s="110">
        <v>54427.02</v>
      </c>
    </row>
    <row r="740" spans="1:12" x14ac:dyDescent="0.2">
      <c r="A740" t="s">
        <v>20</v>
      </c>
      <c r="B740" t="s">
        <v>109</v>
      </c>
      <c r="C740" t="s">
        <v>192</v>
      </c>
      <c r="D740" s="110">
        <v>70397</v>
      </c>
      <c r="E740" s="110">
        <v>68181</v>
      </c>
      <c r="F740" s="110">
        <v>66441</v>
      </c>
      <c r="I740" s="110">
        <v>24275.75</v>
      </c>
      <c r="J740" s="110">
        <v>33938.519999999997</v>
      </c>
      <c r="K740" s="110">
        <v>37878.03</v>
      </c>
    </row>
    <row r="741" spans="1:12" x14ac:dyDescent="0.2">
      <c r="A741" t="s">
        <v>20</v>
      </c>
      <c r="B741" t="s">
        <v>109</v>
      </c>
      <c r="C741" t="s">
        <v>193</v>
      </c>
      <c r="D741" s="110">
        <v>80289.75</v>
      </c>
      <c r="E741" s="110">
        <v>78579.75</v>
      </c>
      <c r="I741" s="110">
        <v>21787.46</v>
      </c>
      <c r="J741" s="110">
        <v>30631.11</v>
      </c>
    </row>
    <row r="742" spans="1:12" x14ac:dyDescent="0.2">
      <c r="A742" t="s">
        <v>20</v>
      </c>
      <c r="B742" t="s">
        <v>109</v>
      </c>
      <c r="C742" t="s">
        <v>194</v>
      </c>
      <c r="D742" s="110">
        <v>54346</v>
      </c>
      <c r="I742" s="110">
        <v>14849.61</v>
      </c>
    </row>
    <row r="743" spans="1:12" x14ac:dyDescent="0.2">
      <c r="A743" t="s">
        <v>20</v>
      </c>
      <c r="B743" t="s">
        <v>106</v>
      </c>
      <c r="C743" t="s">
        <v>191</v>
      </c>
      <c r="D743" s="110">
        <v>139454.70000000001</v>
      </c>
      <c r="E743" s="110">
        <v>139444.70000000001</v>
      </c>
      <c r="F743" s="110">
        <v>139444.70000000001</v>
      </c>
      <c r="G743" s="110">
        <v>139444.70000000001</v>
      </c>
      <c r="I743" s="110">
        <v>138489.70000000001</v>
      </c>
      <c r="J743" s="110">
        <v>139444.70000000001</v>
      </c>
      <c r="K743" s="110">
        <v>139444.70000000001</v>
      </c>
      <c r="L743" s="110">
        <v>139444.70000000001</v>
      </c>
    </row>
    <row r="744" spans="1:12" x14ac:dyDescent="0.2">
      <c r="A744" t="s">
        <v>20</v>
      </c>
      <c r="B744" t="s">
        <v>106</v>
      </c>
      <c r="C744" t="s">
        <v>192</v>
      </c>
      <c r="D744" s="110">
        <v>145225.60999999999</v>
      </c>
      <c r="E744" s="110">
        <v>145225.60999999999</v>
      </c>
      <c r="F744" s="110">
        <v>145225.60999999999</v>
      </c>
      <c r="I744" s="110">
        <v>145105.31</v>
      </c>
      <c r="J744" s="110">
        <v>145105.31</v>
      </c>
      <c r="K744" s="110">
        <v>145105.31</v>
      </c>
    </row>
    <row r="745" spans="1:12" x14ac:dyDescent="0.2">
      <c r="A745" t="s">
        <v>20</v>
      </c>
      <c r="B745" t="s">
        <v>106</v>
      </c>
      <c r="C745" t="s">
        <v>193</v>
      </c>
      <c r="D745" s="110">
        <v>262099.92</v>
      </c>
      <c r="E745" s="110">
        <v>261144.92</v>
      </c>
      <c r="I745" s="110">
        <v>260128.1</v>
      </c>
      <c r="J745" s="110">
        <v>260138.1</v>
      </c>
    </row>
    <row r="746" spans="1:12" x14ac:dyDescent="0.2">
      <c r="A746" t="s">
        <v>20</v>
      </c>
      <c r="B746" t="s">
        <v>106</v>
      </c>
      <c r="C746" t="s">
        <v>194</v>
      </c>
      <c r="D746" s="110">
        <v>173402.11</v>
      </c>
      <c r="I746" s="110">
        <v>172207.11</v>
      </c>
    </row>
    <row r="747" spans="1:12" x14ac:dyDescent="0.2">
      <c r="A747" t="s">
        <v>20</v>
      </c>
      <c r="B747" t="s">
        <v>107</v>
      </c>
      <c r="C747" t="s">
        <v>191</v>
      </c>
      <c r="D747" s="110">
        <v>41159.67</v>
      </c>
      <c r="E747" s="110">
        <v>40849.67</v>
      </c>
      <c r="F747" s="110">
        <v>40846.67</v>
      </c>
      <c r="G747" s="110">
        <v>40846.67</v>
      </c>
      <c r="I747" s="110">
        <v>39600.67</v>
      </c>
      <c r="J747" s="110">
        <v>40371.67</v>
      </c>
      <c r="K747" s="110">
        <v>40371.67</v>
      </c>
      <c r="L747" s="110">
        <v>40371.67</v>
      </c>
    </row>
    <row r="748" spans="1:12" x14ac:dyDescent="0.2">
      <c r="A748" t="s">
        <v>20</v>
      </c>
      <c r="B748" t="s">
        <v>107</v>
      </c>
      <c r="C748" t="s">
        <v>192</v>
      </c>
      <c r="D748" s="110">
        <v>55816.89</v>
      </c>
      <c r="E748" s="110">
        <v>55816.89</v>
      </c>
      <c r="F748" s="110">
        <v>55816.89</v>
      </c>
      <c r="I748" s="110">
        <v>52501.67</v>
      </c>
      <c r="J748" s="110">
        <v>55266.67</v>
      </c>
      <c r="K748" s="110">
        <v>55266.67</v>
      </c>
    </row>
    <row r="749" spans="1:12" x14ac:dyDescent="0.2">
      <c r="A749" t="s">
        <v>20</v>
      </c>
      <c r="B749" t="s">
        <v>107</v>
      </c>
      <c r="C749" t="s">
        <v>193</v>
      </c>
      <c r="D749" s="110">
        <v>46696.78</v>
      </c>
      <c r="E749" s="110">
        <v>46696.78</v>
      </c>
      <c r="I749" s="110">
        <v>43358.78</v>
      </c>
      <c r="J749" s="110">
        <v>46608.78</v>
      </c>
    </row>
    <row r="750" spans="1:12" x14ac:dyDescent="0.2">
      <c r="A750" t="s">
        <v>20</v>
      </c>
      <c r="B750" t="s">
        <v>107</v>
      </c>
      <c r="C750" t="s">
        <v>194</v>
      </c>
      <c r="D750" s="110">
        <v>56551.51</v>
      </c>
      <c r="I750" s="110">
        <v>54718.51</v>
      </c>
    </row>
    <row r="751" spans="1:12" x14ac:dyDescent="0.2">
      <c r="A751" t="s">
        <v>20</v>
      </c>
      <c r="B751" t="s">
        <v>108</v>
      </c>
      <c r="C751" t="s">
        <v>191</v>
      </c>
      <c r="D751" s="110">
        <v>13817.2</v>
      </c>
      <c r="E751" s="110">
        <v>13817.2</v>
      </c>
      <c r="F751" s="110">
        <v>13417.2</v>
      </c>
      <c r="G751" s="110">
        <v>13417.2</v>
      </c>
      <c r="I751" s="110">
        <v>13184.85</v>
      </c>
      <c r="J751" s="110">
        <v>13184.85</v>
      </c>
      <c r="K751" s="110">
        <v>13184.85</v>
      </c>
      <c r="L751" s="110">
        <v>13184.85</v>
      </c>
    </row>
    <row r="752" spans="1:12" x14ac:dyDescent="0.2">
      <c r="A752" t="s">
        <v>20</v>
      </c>
      <c r="B752" t="s">
        <v>108</v>
      </c>
      <c r="C752" t="s">
        <v>192</v>
      </c>
      <c r="D752" s="110">
        <v>12723.55</v>
      </c>
      <c r="E752" s="110">
        <v>12723.55</v>
      </c>
      <c r="F752" s="110">
        <v>12723.55</v>
      </c>
      <c r="I752" s="110">
        <v>12373.55</v>
      </c>
      <c r="J752" s="110">
        <v>12378.55</v>
      </c>
      <c r="K752" s="110">
        <v>12378.55</v>
      </c>
    </row>
    <row r="753" spans="1:12" x14ac:dyDescent="0.2">
      <c r="A753" t="s">
        <v>20</v>
      </c>
      <c r="B753" t="s">
        <v>108</v>
      </c>
      <c r="C753" t="s">
        <v>193</v>
      </c>
      <c r="D753" s="110">
        <v>16913.45</v>
      </c>
      <c r="E753" s="110">
        <v>16913.45</v>
      </c>
      <c r="I753" s="110">
        <v>16184.8</v>
      </c>
      <c r="J753" s="110">
        <v>16533.45</v>
      </c>
    </row>
    <row r="754" spans="1:12" x14ac:dyDescent="0.2">
      <c r="A754" t="s">
        <v>20</v>
      </c>
      <c r="B754" t="s">
        <v>108</v>
      </c>
      <c r="C754" t="s">
        <v>194</v>
      </c>
      <c r="D754" s="110">
        <v>13869.65</v>
      </c>
      <c r="I754" s="110">
        <v>13407.65</v>
      </c>
    </row>
    <row r="755" spans="1:12" x14ac:dyDescent="0.2">
      <c r="A755" t="s">
        <v>20</v>
      </c>
      <c r="B755" t="s">
        <v>70</v>
      </c>
      <c r="C755" t="s">
        <v>191</v>
      </c>
      <c r="D755" s="110">
        <v>16772.8</v>
      </c>
      <c r="E755" s="110">
        <v>16772.8</v>
      </c>
      <c r="F755" s="110">
        <v>16462.3</v>
      </c>
      <c r="G755" s="110">
        <v>16462.3</v>
      </c>
      <c r="I755" s="110">
        <v>14550.3</v>
      </c>
      <c r="J755" s="110">
        <v>14613.3</v>
      </c>
      <c r="K755" s="110">
        <v>14613.3</v>
      </c>
      <c r="L755" s="110">
        <v>14613.3</v>
      </c>
    </row>
    <row r="756" spans="1:12" x14ac:dyDescent="0.2">
      <c r="A756" t="s">
        <v>20</v>
      </c>
      <c r="B756" t="s">
        <v>70</v>
      </c>
      <c r="C756" t="s">
        <v>192</v>
      </c>
      <c r="D756" s="110">
        <v>18086.900000000001</v>
      </c>
      <c r="E756" s="110">
        <v>17679.400000000001</v>
      </c>
      <c r="F756" s="110">
        <v>17679.400000000001</v>
      </c>
      <c r="I756" s="110">
        <v>16073.9</v>
      </c>
      <c r="J756" s="110">
        <v>16421.400000000001</v>
      </c>
      <c r="K756" s="110">
        <v>16463.400000000001</v>
      </c>
    </row>
    <row r="757" spans="1:12" x14ac:dyDescent="0.2">
      <c r="A757" t="s">
        <v>20</v>
      </c>
      <c r="B757" t="s">
        <v>70</v>
      </c>
      <c r="C757" t="s">
        <v>193</v>
      </c>
      <c r="D757" s="110">
        <v>20036.95</v>
      </c>
      <c r="E757" s="110">
        <v>18736.95</v>
      </c>
      <c r="I757" s="110">
        <v>17995.45</v>
      </c>
      <c r="J757" s="110">
        <v>18463.45</v>
      </c>
    </row>
    <row r="758" spans="1:12" x14ac:dyDescent="0.2">
      <c r="A758" t="s">
        <v>20</v>
      </c>
      <c r="B758" t="s">
        <v>70</v>
      </c>
      <c r="C758" t="s">
        <v>194</v>
      </c>
      <c r="D758" s="110">
        <v>16338.75</v>
      </c>
      <c r="I758" s="110">
        <v>15574.25</v>
      </c>
    </row>
    <row r="759" spans="1:12" x14ac:dyDescent="0.2">
      <c r="A759" t="s">
        <v>20</v>
      </c>
      <c r="B759" t="s">
        <v>110</v>
      </c>
      <c r="C759" t="s">
        <v>191</v>
      </c>
      <c r="D759" s="110">
        <v>261365</v>
      </c>
      <c r="E759" s="110">
        <v>247027</v>
      </c>
      <c r="F759" s="110">
        <v>244124</v>
      </c>
      <c r="G759" s="110">
        <v>243218</v>
      </c>
      <c r="I759" s="110">
        <v>96212.5</v>
      </c>
      <c r="J759" s="110">
        <v>174220.5</v>
      </c>
      <c r="K759" s="110">
        <v>197784.5</v>
      </c>
      <c r="L759" s="110">
        <v>203513.22</v>
      </c>
    </row>
    <row r="760" spans="1:12" x14ac:dyDescent="0.2">
      <c r="A760" t="s">
        <v>20</v>
      </c>
      <c r="B760" t="s">
        <v>110</v>
      </c>
      <c r="C760" t="s">
        <v>192</v>
      </c>
      <c r="D760" s="110">
        <v>258397.5</v>
      </c>
      <c r="E760" s="110">
        <v>245520.5</v>
      </c>
      <c r="F760" s="110">
        <v>239341.5</v>
      </c>
      <c r="I760" s="110">
        <v>104516</v>
      </c>
      <c r="J760" s="110">
        <v>168677</v>
      </c>
      <c r="K760" s="110">
        <v>177947</v>
      </c>
    </row>
    <row r="761" spans="1:12" x14ac:dyDescent="0.2">
      <c r="A761" t="s">
        <v>20</v>
      </c>
      <c r="B761" t="s">
        <v>110</v>
      </c>
      <c r="C761" t="s">
        <v>193</v>
      </c>
      <c r="D761" s="110">
        <v>258526.5</v>
      </c>
      <c r="E761" s="110">
        <v>240110</v>
      </c>
      <c r="I761" s="110">
        <v>100804</v>
      </c>
      <c r="J761" s="110">
        <v>164658.38</v>
      </c>
    </row>
    <row r="762" spans="1:12" x14ac:dyDescent="0.2">
      <c r="A762" t="s">
        <v>20</v>
      </c>
      <c r="B762" t="s">
        <v>110</v>
      </c>
      <c r="C762" t="s">
        <v>194</v>
      </c>
      <c r="D762" s="110">
        <v>234911.13</v>
      </c>
      <c r="I762" s="110">
        <v>83684</v>
      </c>
    </row>
    <row r="763" spans="1:12" x14ac:dyDescent="0.2">
      <c r="A763" t="s">
        <v>21</v>
      </c>
      <c r="B763" t="s">
        <v>104</v>
      </c>
      <c r="C763" t="s">
        <v>191</v>
      </c>
      <c r="D763" s="110">
        <v>75797</v>
      </c>
      <c r="E763" s="110">
        <v>75847</v>
      </c>
      <c r="F763" s="110">
        <v>75897</v>
      </c>
      <c r="G763" s="110">
        <v>75897</v>
      </c>
      <c r="I763" s="110">
        <v>75</v>
      </c>
      <c r="J763" s="110">
        <v>956</v>
      </c>
      <c r="K763" s="110">
        <v>1838</v>
      </c>
      <c r="L763" s="110">
        <v>2836</v>
      </c>
    </row>
    <row r="764" spans="1:12" x14ac:dyDescent="0.2">
      <c r="A764" t="s">
        <v>21</v>
      </c>
      <c r="B764" t="s">
        <v>104</v>
      </c>
      <c r="C764" t="s">
        <v>192</v>
      </c>
      <c r="D764" s="110">
        <v>88134</v>
      </c>
      <c r="E764" s="110">
        <v>88586</v>
      </c>
      <c r="F764" s="110">
        <v>88586</v>
      </c>
      <c r="I764" s="110">
        <v>889</v>
      </c>
      <c r="J764" s="110">
        <v>1110</v>
      </c>
      <c r="K764" s="110">
        <v>3028</v>
      </c>
    </row>
    <row r="765" spans="1:12" x14ac:dyDescent="0.2">
      <c r="A765" t="s">
        <v>21</v>
      </c>
      <c r="B765" t="s">
        <v>104</v>
      </c>
      <c r="C765" t="s">
        <v>193</v>
      </c>
      <c r="D765" s="110">
        <v>83971</v>
      </c>
      <c r="E765" s="110">
        <v>83971</v>
      </c>
      <c r="I765" s="110">
        <v>501</v>
      </c>
      <c r="J765" s="110">
        <v>2694</v>
      </c>
    </row>
    <row r="766" spans="1:12" x14ac:dyDescent="0.2">
      <c r="A766" t="s">
        <v>21</v>
      </c>
      <c r="B766" t="s">
        <v>104</v>
      </c>
      <c r="C766" t="s">
        <v>194</v>
      </c>
      <c r="D766" s="110">
        <v>17622</v>
      </c>
      <c r="I766" s="110">
        <v>80</v>
      </c>
    </row>
    <row r="767" spans="1:12" x14ac:dyDescent="0.2">
      <c r="A767" t="s">
        <v>21</v>
      </c>
      <c r="B767" t="s">
        <v>140</v>
      </c>
      <c r="C767" t="s">
        <v>191</v>
      </c>
      <c r="D767" s="110">
        <v>53072</v>
      </c>
      <c r="E767" s="110">
        <v>53072</v>
      </c>
      <c r="F767" s="110">
        <v>53072</v>
      </c>
      <c r="G767" s="110">
        <v>53072</v>
      </c>
    </row>
    <row r="768" spans="1:12" x14ac:dyDescent="0.2">
      <c r="A768" t="s">
        <v>21</v>
      </c>
      <c r="B768" t="s">
        <v>140</v>
      </c>
      <c r="C768" t="s">
        <v>192</v>
      </c>
      <c r="D768" s="110">
        <v>53072</v>
      </c>
      <c r="E768" s="110">
        <v>53072</v>
      </c>
      <c r="F768" s="110">
        <v>53072</v>
      </c>
    </row>
    <row r="769" spans="1:12" x14ac:dyDescent="0.2">
      <c r="A769" t="s">
        <v>21</v>
      </c>
      <c r="B769" t="s">
        <v>140</v>
      </c>
      <c r="C769" t="s">
        <v>193</v>
      </c>
      <c r="D769" s="110">
        <v>53072</v>
      </c>
      <c r="E769" s="110">
        <v>53072</v>
      </c>
    </row>
    <row r="770" spans="1:12" x14ac:dyDescent="0.2">
      <c r="A770" t="s">
        <v>21</v>
      </c>
      <c r="B770" t="s">
        <v>140</v>
      </c>
      <c r="C770" t="s">
        <v>194</v>
      </c>
    </row>
    <row r="771" spans="1:12" x14ac:dyDescent="0.2">
      <c r="A771" t="s">
        <v>21</v>
      </c>
      <c r="B771" t="s">
        <v>105</v>
      </c>
      <c r="C771" t="s">
        <v>191</v>
      </c>
      <c r="D771" s="110">
        <v>14072</v>
      </c>
      <c r="E771" s="110">
        <v>14072</v>
      </c>
      <c r="F771" s="110">
        <v>13725</v>
      </c>
      <c r="G771" s="110">
        <v>13800</v>
      </c>
      <c r="I771" s="110">
        <v>2979</v>
      </c>
      <c r="J771" s="110">
        <v>6383</v>
      </c>
      <c r="K771" s="110">
        <v>7032</v>
      </c>
      <c r="L771" s="110">
        <v>9319</v>
      </c>
    </row>
    <row r="772" spans="1:12" x14ac:dyDescent="0.2">
      <c r="A772" t="s">
        <v>21</v>
      </c>
      <c r="B772" t="s">
        <v>105</v>
      </c>
      <c r="C772" t="s">
        <v>192</v>
      </c>
      <c r="D772" s="110">
        <v>13252</v>
      </c>
      <c r="E772" s="110">
        <v>13252</v>
      </c>
      <c r="F772" s="110">
        <v>13252</v>
      </c>
      <c r="I772" s="110">
        <v>4758</v>
      </c>
      <c r="J772" s="110">
        <v>6619</v>
      </c>
      <c r="K772" s="110">
        <v>7453</v>
      </c>
    </row>
    <row r="773" spans="1:12" x14ac:dyDescent="0.2">
      <c r="A773" t="s">
        <v>21</v>
      </c>
      <c r="B773" t="s">
        <v>105</v>
      </c>
      <c r="C773" t="s">
        <v>193</v>
      </c>
      <c r="D773" s="110">
        <v>13603</v>
      </c>
      <c r="E773" s="110">
        <v>13903</v>
      </c>
      <c r="I773" s="110">
        <v>2656</v>
      </c>
      <c r="J773" s="110">
        <v>4247</v>
      </c>
    </row>
    <row r="774" spans="1:12" x14ac:dyDescent="0.2">
      <c r="A774" t="s">
        <v>21</v>
      </c>
      <c r="B774" t="s">
        <v>105</v>
      </c>
      <c r="C774" t="s">
        <v>194</v>
      </c>
      <c r="D774" s="110">
        <v>13577</v>
      </c>
      <c r="I774" s="110">
        <v>2404</v>
      </c>
    </row>
    <row r="775" spans="1:12" x14ac:dyDescent="0.2">
      <c r="A775" t="s">
        <v>21</v>
      </c>
      <c r="B775" t="s">
        <v>111</v>
      </c>
      <c r="C775" t="s">
        <v>191</v>
      </c>
    </row>
    <row r="776" spans="1:12" x14ac:dyDescent="0.2">
      <c r="A776" t="s">
        <v>21</v>
      </c>
      <c r="B776" t="s">
        <v>111</v>
      </c>
      <c r="C776" t="s">
        <v>192</v>
      </c>
      <c r="D776" s="110">
        <v>220</v>
      </c>
      <c r="E776" s="110">
        <v>220</v>
      </c>
      <c r="F776" s="110">
        <v>220</v>
      </c>
      <c r="J776" s="110">
        <v>220</v>
      </c>
      <c r="K776" s="110">
        <v>220</v>
      </c>
    </row>
    <row r="777" spans="1:12" x14ac:dyDescent="0.2">
      <c r="A777" t="s">
        <v>21</v>
      </c>
      <c r="B777" t="s">
        <v>111</v>
      </c>
      <c r="C777" t="s">
        <v>193</v>
      </c>
      <c r="D777" s="110">
        <v>1412</v>
      </c>
      <c r="E777" s="110">
        <v>1412</v>
      </c>
      <c r="I777" s="110">
        <v>192</v>
      </c>
      <c r="J777" s="110">
        <v>212</v>
      </c>
    </row>
    <row r="778" spans="1:12" x14ac:dyDescent="0.2">
      <c r="A778" t="s">
        <v>21</v>
      </c>
      <c r="B778" t="s">
        <v>111</v>
      </c>
      <c r="C778" t="s">
        <v>194</v>
      </c>
      <c r="D778" s="110">
        <v>249</v>
      </c>
      <c r="I778" s="110">
        <v>4</v>
      </c>
    </row>
    <row r="779" spans="1:12" x14ac:dyDescent="0.2">
      <c r="A779" t="s">
        <v>21</v>
      </c>
      <c r="B779" t="s">
        <v>109</v>
      </c>
      <c r="C779" t="s">
        <v>191</v>
      </c>
      <c r="D779" s="110">
        <v>22423</v>
      </c>
      <c r="E779" s="110">
        <v>22423</v>
      </c>
      <c r="F779" s="110">
        <v>22423</v>
      </c>
      <c r="G779" s="110">
        <v>22398</v>
      </c>
      <c r="I779" s="110">
        <v>3826</v>
      </c>
      <c r="J779" s="110">
        <v>9002</v>
      </c>
      <c r="K779" s="110">
        <v>12392</v>
      </c>
      <c r="L779" s="110">
        <v>15425</v>
      </c>
    </row>
    <row r="780" spans="1:12" x14ac:dyDescent="0.2">
      <c r="A780" t="s">
        <v>21</v>
      </c>
      <c r="B780" t="s">
        <v>109</v>
      </c>
      <c r="C780" t="s">
        <v>192</v>
      </c>
      <c r="D780" s="110">
        <v>19893</v>
      </c>
      <c r="E780" s="110">
        <v>19893</v>
      </c>
      <c r="F780" s="110">
        <v>19893</v>
      </c>
      <c r="I780" s="110">
        <v>7082</v>
      </c>
      <c r="J780" s="110">
        <v>9085</v>
      </c>
      <c r="K780" s="110">
        <v>9350</v>
      </c>
    </row>
    <row r="781" spans="1:12" x14ac:dyDescent="0.2">
      <c r="A781" t="s">
        <v>21</v>
      </c>
      <c r="B781" t="s">
        <v>109</v>
      </c>
      <c r="C781" t="s">
        <v>193</v>
      </c>
      <c r="D781" s="110">
        <v>8524</v>
      </c>
      <c r="E781" s="110">
        <v>8524</v>
      </c>
      <c r="I781" s="110">
        <v>715</v>
      </c>
      <c r="J781" s="110">
        <v>1835</v>
      </c>
    </row>
    <row r="782" spans="1:12" x14ac:dyDescent="0.2">
      <c r="A782" t="s">
        <v>21</v>
      </c>
      <c r="B782" t="s">
        <v>109</v>
      </c>
      <c r="C782" t="s">
        <v>194</v>
      </c>
      <c r="D782" s="110">
        <v>13238</v>
      </c>
      <c r="I782" s="110">
        <v>3056</v>
      </c>
    </row>
    <row r="783" spans="1:12" x14ac:dyDescent="0.2">
      <c r="A783" t="s">
        <v>21</v>
      </c>
      <c r="B783" t="s">
        <v>106</v>
      </c>
      <c r="C783" t="s">
        <v>191</v>
      </c>
      <c r="D783" s="110">
        <v>12153</v>
      </c>
      <c r="E783" s="110">
        <v>12153</v>
      </c>
      <c r="F783" s="110">
        <v>12153</v>
      </c>
      <c r="G783" s="110">
        <v>12153</v>
      </c>
      <c r="I783" s="110">
        <v>12153</v>
      </c>
      <c r="J783" s="110">
        <v>12153</v>
      </c>
      <c r="K783" s="110">
        <v>12153</v>
      </c>
      <c r="L783" s="110">
        <v>12153</v>
      </c>
    </row>
    <row r="784" spans="1:12" x14ac:dyDescent="0.2">
      <c r="A784" t="s">
        <v>21</v>
      </c>
      <c r="B784" t="s">
        <v>106</v>
      </c>
      <c r="C784" t="s">
        <v>192</v>
      </c>
      <c r="D784" s="110">
        <v>8476</v>
      </c>
      <c r="E784" s="110">
        <v>8476</v>
      </c>
      <c r="F784" s="110">
        <v>8476</v>
      </c>
      <c r="I784" s="110">
        <v>7526</v>
      </c>
      <c r="J784" s="110">
        <v>8476</v>
      </c>
      <c r="K784" s="110">
        <v>8476</v>
      </c>
    </row>
    <row r="785" spans="1:12" x14ac:dyDescent="0.2">
      <c r="A785" t="s">
        <v>21</v>
      </c>
      <c r="B785" t="s">
        <v>106</v>
      </c>
      <c r="C785" t="s">
        <v>193</v>
      </c>
      <c r="D785" s="110">
        <v>12524</v>
      </c>
      <c r="E785" s="110">
        <v>12524</v>
      </c>
      <c r="I785" s="110">
        <v>12524</v>
      </c>
      <c r="J785" s="110">
        <v>12524</v>
      </c>
    </row>
    <row r="786" spans="1:12" x14ac:dyDescent="0.2">
      <c r="A786" t="s">
        <v>21</v>
      </c>
      <c r="B786" t="s">
        <v>106</v>
      </c>
      <c r="C786" t="s">
        <v>194</v>
      </c>
      <c r="D786" s="110">
        <v>18164</v>
      </c>
      <c r="I786" s="110">
        <v>17869</v>
      </c>
    </row>
    <row r="787" spans="1:12" x14ac:dyDescent="0.2">
      <c r="A787" t="s">
        <v>21</v>
      </c>
      <c r="B787" t="s">
        <v>107</v>
      </c>
      <c r="C787" t="s">
        <v>191</v>
      </c>
      <c r="D787" s="110">
        <v>10700</v>
      </c>
      <c r="E787" s="110">
        <v>10700</v>
      </c>
      <c r="F787" s="110">
        <v>10700</v>
      </c>
      <c r="G787" s="110">
        <v>10700</v>
      </c>
      <c r="I787" s="110">
        <v>10390</v>
      </c>
      <c r="J787" s="110">
        <v>10700</v>
      </c>
      <c r="K787" s="110">
        <v>10700</v>
      </c>
      <c r="L787" s="110">
        <v>10700</v>
      </c>
    </row>
    <row r="788" spans="1:12" x14ac:dyDescent="0.2">
      <c r="A788" t="s">
        <v>21</v>
      </c>
      <c r="B788" t="s">
        <v>107</v>
      </c>
      <c r="C788" t="s">
        <v>192</v>
      </c>
      <c r="D788" s="110">
        <v>10507</v>
      </c>
      <c r="E788" s="110">
        <v>10507</v>
      </c>
      <c r="F788" s="110">
        <v>10507</v>
      </c>
      <c r="I788" s="110">
        <v>9569</v>
      </c>
      <c r="J788" s="110">
        <v>10499</v>
      </c>
      <c r="K788" s="110">
        <v>10499</v>
      </c>
    </row>
    <row r="789" spans="1:12" x14ac:dyDescent="0.2">
      <c r="A789" t="s">
        <v>21</v>
      </c>
      <c r="B789" t="s">
        <v>107</v>
      </c>
      <c r="C789" t="s">
        <v>193</v>
      </c>
      <c r="D789" s="110">
        <v>13420</v>
      </c>
      <c r="E789" s="110">
        <v>13420</v>
      </c>
      <c r="I789" s="110">
        <v>13335</v>
      </c>
      <c r="J789" s="110">
        <v>13420</v>
      </c>
    </row>
    <row r="790" spans="1:12" x14ac:dyDescent="0.2">
      <c r="A790" t="s">
        <v>21</v>
      </c>
      <c r="B790" t="s">
        <v>107</v>
      </c>
      <c r="C790" t="s">
        <v>194</v>
      </c>
      <c r="D790" s="110">
        <v>18505</v>
      </c>
      <c r="I790" s="110">
        <v>17875</v>
      </c>
    </row>
    <row r="791" spans="1:12" x14ac:dyDescent="0.2">
      <c r="A791" t="s">
        <v>21</v>
      </c>
      <c r="B791" t="s">
        <v>108</v>
      </c>
      <c r="C791" t="s">
        <v>191</v>
      </c>
      <c r="D791" s="110">
        <v>6137</v>
      </c>
      <c r="E791" s="110">
        <v>6137</v>
      </c>
      <c r="F791" s="110">
        <v>6137</v>
      </c>
      <c r="G791" s="110">
        <v>6137</v>
      </c>
      <c r="I791" s="110">
        <v>6137</v>
      </c>
      <c r="J791" s="110">
        <v>6137</v>
      </c>
      <c r="K791" s="110">
        <v>6137</v>
      </c>
      <c r="L791" s="110">
        <v>6137</v>
      </c>
    </row>
    <row r="792" spans="1:12" x14ac:dyDescent="0.2">
      <c r="A792" t="s">
        <v>21</v>
      </c>
      <c r="B792" t="s">
        <v>108</v>
      </c>
      <c r="C792" t="s">
        <v>192</v>
      </c>
      <c r="D792" s="110">
        <v>4083</v>
      </c>
      <c r="E792" s="110">
        <v>4428</v>
      </c>
      <c r="F792" s="110">
        <v>4428</v>
      </c>
      <c r="I792" s="110">
        <v>4483</v>
      </c>
      <c r="J792" s="110">
        <v>4828</v>
      </c>
      <c r="K792" s="110">
        <v>4828</v>
      </c>
    </row>
    <row r="793" spans="1:12" x14ac:dyDescent="0.2">
      <c r="A793" t="s">
        <v>21</v>
      </c>
      <c r="B793" t="s">
        <v>108</v>
      </c>
      <c r="C793" t="s">
        <v>193</v>
      </c>
      <c r="D793" s="110">
        <v>5046</v>
      </c>
      <c r="E793" s="110">
        <v>5046</v>
      </c>
      <c r="I793" s="110">
        <v>5046</v>
      </c>
      <c r="J793" s="110">
        <v>5046</v>
      </c>
    </row>
    <row r="794" spans="1:12" x14ac:dyDescent="0.2">
      <c r="A794" t="s">
        <v>21</v>
      </c>
      <c r="B794" t="s">
        <v>108</v>
      </c>
      <c r="C794" t="s">
        <v>194</v>
      </c>
      <c r="D794" s="110">
        <v>3576</v>
      </c>
      <c r="I794" s="110">
        <v>3176</v>
      </c>
    </row>
    <row r="795" spans="1:12" x14ac:dyDescent="0.2">
      <c r="A795" t="s">
        <v>21</v>
      </c>
      <c r="B795" t="s">
        <v>70</v>
      </c>
      <c r="C795" t="s">
        <v>191</v>
      </c>
      <c r="D795" s="110">
        <v>8931</v>
      </c>
      <c r="E795" s="110">
        <v>8223</v>
      </c>
      <c r="F795" s="110">
        <v>8223</v>
      </c>
      <c r="G795" s="110">
        <v>8223</v>
      </c>
      <c r="I795" s="110">
        <v>7815</v>
      </c>
      <c r="J795" s="110">
        <v>7815</v>
      </c>
      <c r="K795" s="110">
        <v>7815</v>
      </c>
      <c r="L795" s="110">
        <v>7815</v>
      </c>
    </row>
    <row r="796" spans="1:12" x14ac:dyDescent="0.2">
      <c r="A796" t="s">
        <v>21</v>
      </c>
      <c r="B796" t="s">
        <v>70</v>
      </c>
      <c r="C796" t="s">
        <v>192</v>
      </c>
      <c r="D796" s="110">
        <v>12703</v>
      </c>
      <c r="E796" s="110">
        <v>12703</v>
      </c>
      <c r="F796" s="110">
        <v>12703</v>
      </c>
      <c r="I796" s="110">
        <v>11011</v>
      </c>
      <c r="J796" s="110">
        <v>11429</v>
      </c>
      <c r="K796" s="110">
        <v>11429</v>
      </c>
    </row>
    <row r="797" spans="1:12" x14ac:dyDescent="0.2">
      <c r="A797" t="s">
        <v>21</v>
      </c>
      <c r="B797" t="s">
        <v>70</v>
      </c>
      <c r="C797" t="s">
        <v>193</v>
      </c>
      <c r="D797" s="110">
        <v>9350</v>
      </c>
      <c r="E797" s="110">
        <v>9350</v>
      </c>
      <c r="I797" s="110">
        <v>7726</v>
      </c>
      <c r="J797" s="110">
        <v>7726</v>
      </c>
    </row>
    <row r="798" spans="1:12" x14ac:dyDescent="0.2">
      <c r="A798" t="s">
        <v>21</v>
      </c>
      <c r="B798" t="s">
        <v>70</v>
      </c>
      <c r="C798" t="s">
        <v>194</v>
      </c>
      <c r="D798" s="110">
        <v>7555</v>
      </c>
      <c r="I798" s="110">
        <v>7255</v>
      </c>
    </row>
    <row r="799" spans="1:12" x14ac:dyDescent="0.2">
      <c r="A799" t="s">
        <v>21</v>
      </c>
      <c r="B799" t="s">
        <v>110</v>
      </c>
      <c r="C799" t="s">
        <v>191</v>
      </c>
      <c r="D799" s="110">
        <v>26355</v>
      </c>
      <c r="E799" s="110">
        <v>24800</v>
      </c>
      <c r="F799" s="110">
        <v>24800</v>
      </c>
      <c r="G799" s="110">
        <v>24800</v>
      </c>
      <c r="I799" s="110">
        <v>11186</v>
      </c>
      <c r="J799" s="110">
        <v>19475</v>
      </c>
      <c r="K799" s="110">
        <v>21427</v>
      </c>
      <c r="L799" s="110">
        <v>21527</v>
      </c>
    </row>
    <row r="800" spans="1:12" x14ac:dyDescent="0.2">
      <c r="A800" t="s">
        <v>21</v>
      </c>
      <c r="B800" t="s">
        <v>110</v>
      </c>
      <c r="C800" t="s">
        <v>192</v>
      </c>
      <c r="D800" s="110">
        <v>20725</v>
      </c>
      <c r="E800" s="110">
        <v>20648</v>
      </c>
      <c r="F800" s="110">
        <v>20791</v>
      </c>
      <c r="I800" s="110">
        <v>11310</v>
      </c>
      <c r="J800" s="110">
        <v>17125</v>
      </c>
      <c r="K800" s="110">
        <v>18527</v>
      </c>
    </row>
    <row r="801" spans="1:12" x14ac:dyDescent="0.2">
      <c r="A801" t="s">
        <v>21</v>
      </c>
      <c r="B801" t="s">
        <v>110</v>
      </c>
      <c r="C801" t="s">
        <v>193</v>
      </c>
      <c r="D801" s="110">
        <v>20443</v>
      </c>
      <c r="E801" s="110">
        <v>20016</v>
      </c>
      <c r="I801" s="110">
        <v>8080</v>
      </c>
      <c r="J801" s="110">
        <v>15473</v>
      </c>
    </row>
    <row r="802" spans="1:12" x14ac:dyDescent="0.2">
      <c r="A802" t="s">
        <v>21</v>
      </c>
      <c r="B802" t="s">
        <v>110</v>
      </c>
      <c r="C802" t="s">
        <v>194</v>
      </c>
      <c r="D802" s="110">
        <v>33913</v>
      </c>
      <c r="I802" s="110">
        <v>15178</v>
      </c>
    </row>
    <row r="803" spans="1:12" x14ac:dyDescent="0.2">
      <c r="A803" t="s">
        <v>22</v>
      </c>
      <c r="B803" t="s">
        <v>104</v>
      </c>
      <c r="C803" t="s">
        <v>191</v>
      </c>
      <c r="D803" s="110">
        <v>51138.5</v>
      </c>
      <c r="E803" s="110">
        <v>51138.5</v>
      </c>
      <c r="F803" s="110">
        <v>51138.5</v>
      </c>
      <c r="G803" s="110">
        <v>51138.5</v>
      </c>
      <c r="I803" s="110">
        <v>762.5</v>
      </c>
      <c r="J803" s="110">
        <v>2772.3</v>
      </c>
      <c r="K803" s="110">
        <v>3400.19</v>
      </c>
      <c r="L803" s="110">
        <v>3901.61</v>
      </c>
    </row>
    <row r="804" spans="1:12" x14ac:dyDescent="0.2">
      <c r="A804" t="s">
        <v>22</v>
      </c>
      <c r="B804" t="s">
        <v>104</v>
      </c>
      <c r="C804" t="s">
        <v>192</v>
      </c>
      <c r="D804" s="110">
        <v>32895</v>
      </c>
      <c r="E804" s="110">
        <v>33395</v>
      </c>
      <c r="F804" s="110">
        <v>33395</v>
      </c>
      <c r="I804" s="110">
        <v>1958.19</v>
      </c>
      <c r="J804" s="110">
        <v>5361.13</v>
      </c>
      <c r="K804" s="110">
        <v>6699.87</v>
      </c>
    </row>
    <row r="805" spans="1:12" x14ac:dyDescent="0.2">
      <c r="A805" t="s">
        <v>22</v>
      </c>
      <c r="B805" t="s">
        <v>104</v>
      </c>
      <c r="C805" t="s">
        <v>193</v>
      </c>
      <c r="D805" s="110">
        <v>36256.68</v>
      </c>
      <c r="E805" s="110">
        <v>36256.68</v>
      </c>
      <c r="I805" s="110">
        <v>464.3</v>
      </c>
      <c r="J805" s="110">
        <v>2730</v>
      </c>
    </row>
    <row r="806" spans="1:12" x14ac:dyDescent="0.2">
      <c r="A806" t="s">
        <v>22</v>
      </c>
      <c r="B806" t="s">
        <v>104</v>
      </c>
      <c r="C806" t="s">
        <v>194</v>
      </c>
      <c r="D806" s="110">
        <v>32916</v>
      </c>
      <c r="I806" s="110">
        <v>916.92</v>
      </c>
    </row>
    <row r="807" spans="1:12" x14ac:dyDescent="0.2">
      <c r="A807" t="s">
        <v>22</v>
      </c>
      <c r="B807" t="s">
        <v>140</v>
      </c>
      <c r="C807" t="s">
        <v>191</v>
      </c>
      <c r="D807" s="110">
        <v>26800</v>
      </c>
      <c r="E807" s="110">
        <v>26800</v>
      </c>
      <c r="F807" s="110">
        <v>26800</v>
      </c>
      <c r="G807" s="110">
        <v>26800</v>
      </c>
    </row>
    <row r="808" spans="1:12" x14ac:dyDescent="0.2">
      <c r="A808" t="s">
        <v>22</v>
      </c>
      <c r="B808" t="s">
        <v>140</v>
      </c>
      <c r="C808" t="s">
        <v>192</v>
      </c>
    </row>
    <row r="809" spans="1:12" x14ac:dyDescent="0.2">
      <c r="A809" t="s">
        <v>22</v>
      </c>
      <c r="B809" t="s">
        <v>140</v>
      </c>
      <c r="C809" t="s">
        <v>193</v>
      </c>
    </row>
    <row r="810" spans="1:12" x14ac:dyDescent="0.2">
      <c r="A810" t="s">
        <v>22</v>
      </c>
      <c r="B810" t="s">
        <v>140</v>
      </c>
      <c r="C810" t="s">
        <v>194</v>
      </c>
    </row>
    <row r="811" spans="1:12" x14ac:dyDescent="0.2">
      <c r="A811" t="s">
        <v>22</v>
      </c>
      <c r="B811" t="s">
        <v>105</v>
      </c>
      <c r="C811" t="s">
        <v>191</v>
      </c>
      <c r="D811" s="110">
        <v>13001</v>
      </c>
      <c r="E811" s="110">
        <v>13175</v>
      </c>
      <c r="F811" s="110">
        <v>13175</v>
      </c>
      <c r="G811" s="110">
        <v>13175</v>
      </c>
      <c r="I811" s="110">
        <v>3695.5</v>
      </c>
      <c r="J811" s="110">
        <v>5157.5</v>
      </c>
      <c r="K811" s="110">
        <v>6210</v>
      </c>
      <c r="L811" s="110">
        <v>6447.5</v>
      </c>
    </row>
    <row r="812" spans="1:12" x14ac:dyDescent="0.2">
      <c r="A812" t="s">
        <v>22</v>
      </c>
      <c r="B812" t="s">
        <v>105</v>
      </c>
      <c r="C812" t="s">
        <v>192</v>
      </c>
      <c r="D812" s="110">
        <v>23151.5</v>
      </c>
      <c r="E812" s="110">
        <v>22615.5</v>
      </c>
      <c r="F812" s="110">
        <v>22615.5</v>
      </c>
      <c r="I812" s="110">
        <v>7177.82</v>
      </c>
      <c r="J812" s="110">
        <v>12444</v>
      </c>
      <c r="K812" s="110">
        <v>13852</v>
      </c>
    </row>
    <row r="813" spans="1:12" x14ac:dyDescent="0.2">
      <c r="A813" t="s">
        <v>22</v>
      </c>
      <c r="B813" t="s">
        <v>105</v>
      </c>
      <c r="C813" t="s">
        <v>193</v>
      </c>
      <c r="D813" s="110">
        <v>21712</v>
      </c>
      <c r="E813" s="110">
        <v>21712</v>
      </c>
      <c r="I813" s="110">
        <v>9827</v>
      </c>
      <c r="J813" s="110">
        <v>13216</v>
      </c>
    </row>
    <row r="814" spans="1:12" x14ac:dyDescent="0.2">
      <c r="A814" t="s">
        <v>22</v>
      </c>
      <c r="B814" t="s">
        <v>105</v>
      </c>
      <c r="C814" t="s">
        <v>194</v>
      </c>
      <c r="D814" s="110">
        <v>13813</v>
      </c>
      <c r="I814" s="110">
        <v>4343.6000000000004</v>
      </c>
    </row>
    <row r="815" spans="1:12" x14ac:dyDescent="0.2">
      <c r="A815" t="s">
        <v>22</v>
      </c>
      <c r="B815" t="s">
        <v>111</v>
      </c>
      <c r="C815" t="s">
        <v>191</v>
      </c>
    </row>
    <row r="816" spans="1:12" x14ac:dyDescent="0.2">
      <c r="A816" t="s">
        <v>22</v>
      </c>
      <c r="B816" t="s">
        <v>111</v>
      </c>
      <c r="C816" t="s">
        <v>192</v>
      </c>
    </row>
    <row r="817" spans="1:12" x14ac:dyDescent="0.2">
      <c r="A817" t="s">
        <v>22</v>
      </c>
      <c r="B817" t="s">
        <v>111</v>
      </c>
      <c r="C817" t="s">
        <v>193</v>
      </c>
      <c r="D817" s="110">
        <v>50</v>
      </c>
      <c r="E817" s="110">
        <v>50</v>
      </c>
      <c r="I817" s="110">
        <v>50</v>
      </c>
      <c r="J817" s="110">
        <v>50</v>
      </c>
    </row>
    <row r="818" spans="1:12" x14ac:dyDescent="0.2">
      <c r="A818" t="s">
        <v>22</v>
      </c>
      <c r="B818" t="s">
        <v>111</v>
      </c>
      <c r="C818" t="s">
        <v>194</v>
      </c>
      <c r="D818" s="110">
        <v>55</v>
      </c>
      <c r="I818" s="110">
        <v>55</v>
      </c>
    </row>
    <row r="819" spans="1:12" x14ac:dyDescent="0.2">
      <c r="A819" t="s">
        <v>22</v>
      </c>
      <c r="B819" t="s">
        <v>109</v>
      </c>
      <c r="C819" t="s">
        <v>191</v>
      </c>
      <c r="D819" s="110">
        <v>19170</v>
      </c>
      <c r="E819" s="110">
        <v>19170</v>
      </c>
      <c r="F819" s="110">
        <v>19170</v>
      </c>
      <c r="G819" s="110">
        <v>18514.5</v>
      </c>
      <c r="I819" s="110">
        <v>1976.5</v>
      </c>
      <c r="J819" s="110">
        <v>5394</v>
      </c>
      <c r="K819" s="110">
        <v>5679.5</v>
      </c>
      <c r="L819" s="110">
        <v>6410</v>
      </c>
    </row>
    <row r="820" spans="1:12" x14ac:dyDescent="0.2">
      <c r="A820" t="s">
        <v>22</v>
      </c>
      <c r="B820" t="s">
        <v>109</v>
      </c>
      <c r="C820" t="s">
        <v>192</v>
      </c>
      <c r="D820" s="110">
        <v>28458.75</v>
      </c>
      <c r="E820" s="110">
        <v>28458.75</v>
      </c>
      <c r="F820" s="110">
        <v>28458.75</v>
      </c>
      <c r="I820" s="110">
        <v>5317.5</v>
      </c>
      <c r="J820" s="110">
        <v>8992</v>
      </c>
      <c r="K820" s="110">
        <v>9913</v>
      </c>
    </row>
    <row r="821" spans="1:12" x14ac:dyDescent="0.2">
      <c r="A821" t="s">
        <v>22</v>
      </c>
      <c r="B821" t="s">
        <v>109</v>
      </c>
      <c r="C821" t="s">
        <v>193</v>
      </c>
      <c r="D821" s="110">
        <v>21854</v>
      </c>
      <c r="E821" s="110">
        <v>21458.5</v>
      </c>
      <c r="I821" s="110">
        <v>6252</v>
      </c>
      <c r="J821" s="110">
        <v>9097</v>
      </c>
    </row>
    <row r="822" spans="1:12" x14ac:dyDescent="0.2">
      <c r="A822" t="s">
        <v>22</v>
      </c>
      <c r="B822" t="s">
        <v>109</v>
      </c>
      <c r="C822" t="s">
        <v>194</v>
      </c>
      <c r="D822" s="110">
        <v>25370</v>
      </c>
      <c r="I822" s="110">
        <v>4993</v>
      </c>
    </row>
    <row r="823" spans="1:12" x14ac:dyDescent="0.2">
      <c r="A823" t="s">
        <v>22</v>
      </c>
      <c r="B823" t="s">
        <v>106</v>
      </c>
      <c r="C823" t="s">
        <v>191</v>
      </c>
      <c r="D823" s="110">
        <v>5928</v>
      </c>
      <c r="E823" s="110">
        <v>5928</v>
      </c>
      <c r="F823" s="110">
        <v>5928</v>
      </c>
      <c r="G823" s="110">
        <v>5928</v>
      </c>
      <c r="I823" s="110">
        <v>5928</v>
      </c>
      <c r="J823" s="110">
        <v>5928</v>
      </c>
      <c r="K823" s="110">
        <v>5928</v>
      </c>
      <c r="L823" s="110">
        <v>5928</v>
      </c>
    </row>
    <row r="824" spans="1:12" x14ac:dyDescent="0.2">
      <c r="A824" t="s">
        <v>22</v>
      </c>
      <c r="B824" t="s">
        <v>106</v>
      </c>
      <c r="C824" t="s">
        <v>192</v>
      </c>
      <c r="D824" s="110">
        <v>5490</v>
      </c>
      <c r="E824" s="110">
        <v>5490</v>
      </c>
      <c r="F824" s="110">
        <v>5490</v>
      </c>
      <c r="I824" s="110">
        <v>5440</v>
      </c>
      <c r="J824" s="110">
        <v>5490</v>
      </c>
      <c r="K824" s="110">
        <v>5490</v>
      </c>
    </row>
    <row r="825" spans="1:12" x14ac:dyDescent="0.2">
      <c r="A825" t="s">
        <v>22</v>
      </c>
      <c r="B825" t="s">
        <v>106</v>
      </c>
      <c r="C825" t="s">
        <v>193</v>
      </c>
      <c r="D825" s="110">
        <v>9125</v>
      </c>
      <c r="E825" s="110">
        <v>9125</v>
      </c>
      <c r="I825" s="110">
        <v>9125</v>
      </c>
      <c r="J825" s="110">
        <v>9125</v>
      </c>
    </row>
    <row r="826" spans="1:12" x14ac:dyDescent="0.2">
      <c r="A826" t="s">
        <v>22</v>
      </c>
      <c r="B826" t="s">
        <v>106</v>
      </c>
      <c r="C826" t="s">
        <v>194</v>
      </c>
      <c r="D826" s="110">
        <v>7245</v>
      </c>
      <c r="I826" s="110">
        <v>5870</v>
      </c>
    </row>
    <row r="827" spans="1:12" x14ac:dyDescent="0.2">
      <c r="A827" t="s">
        <v>22</v>
      </c>
      <c r="B827" t="s">
        <v>107</v>
      </c>
      <c r="C827" t="s">
        <v>191</v>
      </c>
      <c r="D827" s="110">
        <v>6822</v>
      </c>
      <c r="E827" s="110">
        <v>6822</v>
      </c>
      <c r="F827" s="110">
        <v>6822</v>
      </c>
      <c r="G827" s="110">
        <v>6822</v>
      </c>
      <c r="I827" s="110">
        <v>6512</v>
      </c>
      <c r="J827" s="110">
        <v>6822</v>
      </c>
      <c r="K827" s="110">
        <v>6822</v>
      </c>
      <c r="L827" s="110">
        <v>6822</v>
      </c>
    </row>
    <row r="828" spans="1:12" x14ac:dyDescent="0.2">
      <c r="A828" t="s">
        <v>22</v>
      </c>
      <c r="B828" t="s">
        <v>107</v>
      </c>
      <c r="C828" t="s">
        <v>192</v>
      </c>
      <c r="D828" s="110">
        <v>8080</v>
      </c>
      <c r="E828" s="110">
        <v>8255</v>
      </c>
      <c r="F828" s="110">
        <v>8255</v>
      </c>
      <c r="I828" s="110">
        <v>8080</v>
      </c>
      <c r="J828" s="110">
        <v>8080</v>
      </c>
      <c r="K828" s="110">
        <v>8080</v>
      </c>
    </row>
    <row r="829" spans="1:12" x14ac:dyDescent="0.2">
      <c r="A829" t="s">
        <v>22</v>
      </c>
      <c r="B829" t="s">
        <v>107</v>
      </c>
      <c r="C829" t="s">
        <v>193</v>
      </c>
      <c r="D829" s="110">
        <v>7350</v>
      </c>
      <c r="E829" s="110">
        <v>7350</v>
      </c>
      <c r="I829" s="110">
        <v>7340</v>
      </c>
      <c r="J829" s="110">
        <v>7340</v>
      </c>
    </row>
    <row r="830" spans="1:12" x14ac:dyDescent="0.2">
      <c r="A830" t="s">
        <v>22</v>
      </c>
      <c r="B830" t="s">
        <v>107</v>
      </c>
      <c r="C830" t="s">
        <v>194</v>
      </c>
      <c r="D830" s="110">
        <v>8284</v>
      </c>
      <c r="I830" s="110">
        <v>8284</v>
      </c>
    </row>
    <row r="831" spans="1:12" x14ac:dyDescent="0.2">
      <c r="A831" t="s">
        <v>22</v>
      </c>
      <c r="B831" t="s">
        <v>108</v>
      </c>
      <c r="C831" t="s">
        <v>191</v>
      </c>
      <c r="D831" s="110">
        <v>3729</v>
      </c>
      <c r="E831" s="110">
        <v>3729</v>
      </c>
      <c r="F831" s="110">
        <v>3729</v>
      </c>
      <c r="G831" s="110">
        <v>3729</v>
      </c>
      <c r="I831" s="110">
        <v>3729</v>
      </c>
      <c r="J831" s="110">
        <v>3729</v>
      </c>
      <c r="K831" s="110">
        <v>3729</v>
      </c>
      <c r="L831" s="110">
        <v>3729</v>
      </c>
    </row>
    <row r="832" spans="1:12" x14ac:dyDescent="0.2">
      <c r="A832" t="s">
        <v>22</v>
      </c>
      <c r="B832" t="s">
        <v>108</v>
      </c>
      <c r="C832" t="s">
        <v>192</v>
      </c>
      <c r="D832" s="110">
        <v>6753</v>
      </c>
      <c r="E832" s="110">
        <v>6753</v>
      </c>
      <c r="F832" s="110">
        <v>6753</v>
      </c>
      <c r="I832" s="110">
        <v>6753</v>
      </c>
      <c r="J832" s="110">
        <v>6753</v>
      </c>
      <c r="K832" s="110">
        <v>6753</v>
      </c>
    </row>
    <row r="833" spans="1:12" x14ac:dyDescent="0.2">
      <c r="A833" t="s">
        <v>22</v>
      </c>
      <c r="B833" t="s">
        <v>108</v>
      </c>
      <c r="C833" t="s">
        <v>193</v>
      </c>
      <c r="D833" s="110">
        <v>4477</v>
      </c>
      <c r="E833" s="110">
        <v>4477</v>
      </c>
      <c r="I833" s="110">
        <v>4477</v>
      </c>
      <c r="J833" s="110">
        <v>4477</v>
      </c>
    </row>
    <row r="834" spans="1:12" x14ac:dyDescent="0.2">
      <c r="A834" t="s">
        <v>22</v>
      </c>
      <c r="B834" t="s">
        <v>108</v>
      </c>
      <c r="C834" t="s">
        <v>194</v>
      </c>
      <c r="D834" s="110">
        <v>5387</v>
      </c>
      <c r="I834" s="110">
        <v>5033</v>
      </c>
    </row>
    <row r="835" spans="1:12" x14ac:dyDescent="0.2">
      <c r="A835" t="s">
        <v>22</v>
      </c>
      <c r="B835" t="s">
        <v>70</v>
      </c>
      <c r="C835" t="s">
        <v>191</v>
      </c>
      <c r="D835" s="110">
        <v>4227.5</v>
      </c>
      <c r="E835" s="110">
        <v>4227.5</v>
      </c>
      <c r="F835" s="110">
        <v>4227.5</v>
      </c>
      <c r="G835" s="110">
        <v>4227.5</v>
      </c>
      <c r="I835" s="110">
        <v>4227.5</v>
      </c>
      <c r="J835" s="110">
        <v>4227.5</v>
      </c>
      <c r="K835" s="110">
        <v>4227.5</v>
      </c>
      <c r="L835" s="110">
        <v>4227.5</v>
      </c>
    </row>
    <row r="836" spans="1:12" x14ac:dyDescent="0.2">
      <c r="A836" t="s">
        <v>22</v>
      </c>
      <c r="B836" t="s">
        <v>70</v>
      </c>
      <c r="C836" t="s">
        <v>192</v>
      </c>
      <c r="D836" s="110">
        <v>7117.5</v>
      </c>
      <c r="E836" s="110">
        <v>7117.5</v>
      </c>
      <c r="F836" s="110">
        <v>7117.5</v>
      </c>
      <c r="I836" s="110">
        <v>6067</v>
      </c>
      <c r="J836" s="110">
        <v>6509.5</v>
      </c>
      <c r="K836" s="110">
        <v>6509.5</v>
      </c>
    </row>
    <row r="837" spans="1:12" x14ac:dyDescent="0.2">
      <c r="A837" t="s">
        <v>22</v>
      </c>
      <c r="B837" t="s">
        <v>70</v>
      </c>
      <c r="C837" t="s">
        <v>193</v>
      </c>
      <c r="D837" s="110">
        <v>3156</v>
      </c>
      <c r="E837" s="110">
        <v>3156</v>
      </c>
      <c r="I837" s="110">
        <v>3056</v>
      </c>
      <c r="J837" s="110">
        <v>3056</v>
      </c>
    </row>
    <row r="838" spans="1:12" x14ac:dyDescent="0.2">
      <c r="A838" t="s">
        <v>22</v>
      </c>
      <c r="B838" t="s">
        <v>70</v>
      </c>
      <c r="C838" t="s">
        <v>194</v>
      </c>
      <c r="D838" s="110">
        <v>4316.5</v>
      </c>
      <c r="I838" s="110">
        <v>3824</v>
      </c>
    </row>
    <row r="839" spans="1:12" x14ac:dyDescent="0.2">
      <c r="A839" t="s">
        <v>22</v>
      </c>
      <c r="B839" t="s">
        <v>110</v>
      </c>
      <c r="C839" t="s">
        <v>191</v>
      </c>
      <c r="D839" s="110">
        <v>209430.55</v>
      </c>
      <c r="E839" s="110">
        <v>209368</v>
      </c>
      <c r="F839" s="110">
        <v>207901.3</v>
      </c>
      <c r="G839" s="110">
        <v>207878.3</v>
      </c>
      <c r="I839" s="110">
        <v>70849.55</v>
      </c>
      <c r="J839" s="110">
        <v>156131.04999999999</v>
      </c>
      <c r="K839" s="110">
        <v>187815.3</v>
      </c>
      <c r="L839" s="110">
        <v>192571.3</v>
      </c>
    </row>
    <row r="840" spans="1:12" x14ac:dyDescent="0.2">
      <c r="A840" t="s">
        <v>22</v>
      </c>
      <c r="B840" t="s">
        <v>110</v>
      </c>
      <c r="C840" t="s">
        <v>192</v>
      </c>
      <c r="D840" s="110">
        <v>167982.5</v>
      </c>
      <c r="E840" s="110">
        <v>165872.5</v>
      </c>
      <c r="F840" s="110">
        <v>165113.5</v>
      </c>
      <c r="I840" s="110">
        <v>66915</v>
      </c>
      <c r="J840" s="110">
        <v>128242.5</v>
      </c>
      <c r="K840" s="110">
        <v>144185.5</v>
      </c>
    </row>
    <row r="841" spans="1:12" x14ac:dyDescent="0.2">
      <c r="A841" t="s">
        <v>22</v>
      </c>
      <c r="B841" t="s">
        <v>110</v>
      </c>
      <c r="C841" t="s">
        <v>193</v>
      </c>
      <c r="D841" s="110">
        <v>192630</v>
      </c>
      <c r="E841" s="110">
        <v>190249</v>
      </c>
      <c r="I841" s="110">
        <v>70192</v>
      </c>
      <c r="J841" s="110">
        <v>139680.25</v>
      </c>
    </row>
    <row r="842" spans="1:12" x14ac:dyDescent="0.2">
      <c r="A842" t="s">
        <v>22</v>
      </c>
      <c r="B842" t="s">
        <v>110</v>
      </c>
      <c r="C842" t="s">
        <v>194</v>
      </c>
      <c r="D842" s="110">
        <v>283517</v>
      </c>
      <c r="I842" s="110">
        <v>76507</v>
      </c>
    </row>
    <row r="843" spans="1:12" x14ac:dyDescent="0.2">
      <c r="A843" t="s">
        <v>23</v>
      </c>
      <c r="B843" t="s">
        <v>104</v>
      </c>
      <c r="C843" t="s">
        <v>191</v>
      </c>
      <c r="D843" s="110">
        <v>46704.5</v>
      </c>
      <c r="E843" s="110">
        <v>46404.5</v>
      </c>
      <c r="F843" s="110">
        <v>46104.5</v>
      </c>
      <c r="G843" s="110">
        <v>46104.5</v>
      </c>
      <c r="I843" s="110">
        <v>1682.08</v>
      </c>
      <c r="J843" s="110">
        <v>3320.12</v>
      </c>
      <c r="K843" s="110">
        <v>4086.52</v>
      </c>
      <c r="L843" s="110">
        <v>4354.54</v>
      </c>
    </row>
    <row r="844" spans="1:12" x14ac:dyDescent="0.2">
      <c r="A844" t="s">
        <v>23</v>
      </c>
      <c r="B844" t="s">
        <v>104</v>
      </c>
      <c r="C844" t="s">
        <v>192</v>
      </c>
      <c r="D844" s="110">
        <v>73587.5</v>
      </c>
      <c r="E844" s="110">
        <v>73287.5</v>
      </c>
      <c r="F844" s="110">
        <v>73287.5</v>
      </c>
      <c r="I844" s="110">
        <v>2289.92</v>
      </c>
      <c r="J844" s="110">
        <v>5938.78</v>
      </c>
      <c r="K844" s="110">
        <v>7460.14</v>
      </c>
    </row>
    <row r="845" spans="1:12" x14ac:dyDescent="0.2">
      <c r="A845" t="s">
        <v>23</v>
      </c>
      <c r="B845" t="s">
        <v>104</v>
      </c>
      <c r="C845" t="s">
        <v>193</v>
      </c>
      <c r="D845" s="110">
        <v>50091.08</v>
      </c>
      <c r="E845" s="110">
        <v>50091.08</v>
      </c>
      <c r="I845" s="110">
        <v>1875.09</v>
      </c>
      <c r="J845" s="110">
        <v>2466.92</v>
      </c>
    </row>
    <row r="846" spans="1:12" x14ac:dyDescent="0.2">
      <c r="A846" t="s">
        <v>23</v>
      </c>
      <c r="B846" t="s">
        <v>104</v>
      </c>
      <c r="C846" t="s">
        <v>194</v>
      </c>
      <c r="D846" s="110">
        <v>57036.6</v>
      </c>
      <c r="I846" s="110">
        <v>2515.21</v>
      </c>
    </row>
    <row r="847" spans="1:12" x14ac:dyDescent="0.2">
      <c r="A847" t="s">
        <v>23</v>
      </c>
      <c r="B847" t="s">
        <v>140</v>
      </c>
      <c r="C847" t="s">
        <v>191</v>
      </c>
    </row>
    <row r="848" spans="1:12" x14ac:dyDescent="0.2">
      <c r="A848" t="s">
        <v>23</v>
      </c>
      <c r="B848" t="s">
        <v>140</v>
      </c>
      <c r="C848" t="s">
        <v>192</v>
      </c>
    </row>
    <row r="849" spans="1:12" x14ac:dyDescent="0.2">
      <c r="A849" t="s">
        <v>23</v>
      </c>
      <c r="B849" t="s">
        <v>140</v>
      </c>
      <c r="C849" t="s">
        <v>193</v>
      </c>
    </row>
    <row r="850" spans="1:12" x14ac:dyDescent="0.2">
      <c r="A850" t="s">
        <v>23</v>
      </c>
      <c r="B850" t="s">
        <v>140</v>
      </c>
      <c r="C850" t="s">
        <v>194</v>
      </c>
    </row>
    <row r="851" spans="1:12" x14ac:dyDescent="0.2">
      <c r="A851" t="s">
        <v>23</v>
      </c>
      <c r="B851" t="s">
        <v>105</v>
      </c>
      <c r="C851" t="s">
        <v>191</v>
      </c>
      <c r="D851" s="110">
        <v>20537</v>
      </c>
      <c r="E851" s="110">
        <v>20267</v>
      </c>
      <c r="F851" s="110">
        <v>20267</v>
      </c>
      <c r="G851" s="110">
        <v>20267</v>
      </c>
      <c r="I851" s="110">
        <v>5626.2</v>
      </c>
      <c r="J851" s="110">
        <v>11630.2</v>
      </c>
      <c r="K851" s="110">
        <v>12652.2</v>
      </c>
      <c r="L851" s="110">
        <v>13377.2</v>
      </c>
    </row>
    <row r="852" spans="1:12" x14ac:dyDescent="0.2">
      <c r="A852" t="s">
        <v>23</v>
      </c>
      <c r="B852" t="s">
        <v>105</v>
      </c>
      <c r="C852" t="s">
        <v>192</v>
      </c>
      <c r="D852" s="110">
        <v>17641.89</v>
      </c>
      <c r="E852" s="110">
        <v>17671.89</v>
      </c>
      <c r="F852" s="110">
        <v>17671.89</v>
      </c>
      <c r="I852" s="110">
        <v>3816.4</v>
      </c>
      <c r="J852" s="110">
        <v>8475.9</v>
      </c>
      <c r="K852" s="110">
        <v>9750.5</v>
      </c>
    </row>
    <row r="853" spans="1:12" x14ac:dyDescent="0.2">
      <c r="A853" t="s">
        <v>23</v>
      </c>
      <c r="B853" t="s">
        <v>105</v>
      </c>
      <c r="C853" t="s">
        <v>193</v>
      </c>
      <c r="D853" s="110">
        <v>25998.5</v>
      </c>
      <c r="E853" s="110">
        <v>25468.5</v>
      </c>
      <c r="I853" s="110">
        <v>7947</v>
      </c>
      <c r="J853" s="110">
        <v>11112.4</v>
      </c>
    </row>
    <row r="854" spans="1:12" x14ac:dyDescent="0.2">
      <c r="A854" t="s">
        <v>23</v>
      </c>
      <c r="B854" t="s">
        <v>105</v>
      </c>
      <c r="C854" t="s">
        <v>194</v>
      </c>
      <c r="D854" s="110">
        <v>23544</v>
      </c>
      <c r="I854" s="110">
        <v>8448</v>
      </c>
    </row>
    <row r="855" spans="1:12" x14ac:dyDescent="0.2">
      <c r="A855" t="s">
        <v>23</v>
      </c>
      <c r="B855" t="s">
        <v>111</v>
      </c>
      <c r="C855" t="s">
        <v>191</v>
      </c>
      <c r="D855" s="110">
        <v>190</v>
      </c>
      <c r="E855" s="110">
        <v>190</v>
      </c>
      <c r="F855" s="110">
        <v>190</v>
      </c>
      <c r="G855" s="110">
        <v>190</v>
      </c>
      <c r="K855" s="110">
        <v>70</v>
      </c>
      <c r="L855" s="110">
        <v>70</v>
      </c>
    </row>
    <row r="856" spans="1:12" x14ac:dyDescent="0.2">
      <c r="A856" t="s">
        <v>23</v>
      </c>
      <c r="B856" t="s">
        <v>111</v>
      </c>
      <c r="C856" t="s">
        <v>192</v>
      </c>
      <c r="D856" s="110">
        <v>111</v>
      </c>
      <c r="E856" s="110">
        <v>111</v>
      </c>
      <c r="F856" s="110">
        <v>111</v>
      </c>
      <c r="I856" s="110">
        <v>11</v>
      </c>
      <c r="J856" s="110">
        <v>11</v>
      </c>
      <c r="K856" s="110">
        <v>11</v>
      </c>
    </row>
    <row r="857" spans="1:12" x14ac:dyDescent="0.2">
      <c r="A857" t="s">
        <v>23</v>
      </c>
      <c r="B857" t="s">
        <v>111</v>
      </c>
      <c r="C857" t="s">
        <v>193</v>
      </c>
    </row>
    <row r="858" spans="1:12" x14ac:dyDescent="0.2">
      <c r="A858" t="s">
        <v>23</v>
      </c>
      <c r="B858" t="s">
        <v>111</v>
      </c>
      <c r="C858" t="s">
        <v>194</v>
      </c>
      <c r="D858" s="110">
        <v>290</v>
      </c>
      <c r="I858" s="110">
        <v>120</v>
      </c>
    </row>
    <row r="859" spans="1:12" x14ac:dyDescent="0.2">
      <c r="A859" t="s">
        <v>23</v>
      </c>
      <c r="B859" t="s">
        <v>109</v>
      </c>
      <c r="C859" t="s">
        <v>191</v>
      </c>
      <c r="D859" s="110">
        <v>17292</v>
      </c>
      <c r="E859" s="110">
        <v>17187</v>
      </c>
      <c r="F859" s="110">
        <v>17187</v>
      </c>
      <c r="G859" s="110">
        <v>17187</v>
      </c>
      <c r="I859" s="110">
        <v>6152</v>
      </c>
      <c r="J859" s="110">
        <v>11993</v>
      </c>
      <c r="K859" s="110">
        <v>12421</v>
      </c>
      <c r="L859" s="110">
        <v>12829</v>
      </c>
    </row>
    <row r="860" spans="1:12" x14ac:dyDescent="0.2">
      <c r="A860" t="s">
        <v>23</v>
      </c>
      <c r="B860" t="s">
        <v>109</v>
      </c>
      <c r="C860" t="s">
        <v>192</v>
      </c>
      <c r="D860" s="110">
        <v>10435.83</v>
      </c>
      <c r="E860" s="110">
        <v>10435.83</v>
      </c>
      <c r="F860" s="110">
        <v>10435.83</v>
      </c>
      <c r="I860" s="110">
        <v>3083.93</v>
      </c>
      <c r="J860" s="110">
        <v>3987.73</v>
      </c>
      <c r="K860" s="110">
        <v>5327.22</v>
      </c>
    </row>
    <row r="861" spans="1:12" x14ac:dyDescent="0.2">
      <c r="A861" t="s">
        <v>23</v>
      </c>
      <c r="B861" t="s">
        <v>109</v>
      </c>
      <c r="C861" t="s">
        <v>193</v>
      </c>
      <c r="D861" s="110">
        <v>8285.98</v>
      </c>
      <c r="E861" s="110">
        <v>8285.98</v>
      </c>
      <c r="I861" s="110">
        <v>3546.98</v>
      </c>
      <c r="J861" s="110">
        <v>3546.98</v>
      </c>
    </row>
    <row r="862" spans="1:12" x14ac:dyDescent="0.2">
      <c r="A862" t="s">
        <v>23</v>
      </c>
      <c r="B862" t="s">
        <v>109</v>
      </c>
      <c r="C862" t="s">
        <v>194</v>
      </c>
      <c r="D862" s="110">
        <v>7207</v>
      </c>
      <c r="I862" s="110">
        <v>2865.1</v>
      </c>
    </row>
    <row r="863" spans="1:12" x14ac:dyDescent="0.2">
      <c r="A863" t="s">
        <v>23</v>
      </c>
      <c r="B863" t="s">
        <v>106</v>
      </c>
      <c r="C863" t="s">
        <v>191</v>
      </c>
      <c r="D863" s="110">
        <v>10009.5</v>
      </c>
      <c r="E863" s="110">
        <v>10009.5</v>
      </c>
      <c r="F863" s="110">
        <v>9609.5</v>
      </c>
      <c r="G863" s="110">
        <v>9609.5</v>
      </c>
      <c r="I863" s="110">
        <v>9609.5</v>
      </c>
      <c r="J863" s="110">
        <v>9609.5</v>
      </c>
      <c r="K863" s="110">
        <v>9609.5</v>
      </c>
      <c r="L863" s="110">
        <v>9609.5</v>
      </c>
    </row>
    <row r="864" spans="1:12" x14ac:dyDescent="0.2">
      <c r="A864" t="s">
        <v>23</v>
      </c>
      <c r="B864" t="s">
        <v>106</v>
      </c>
      <c r="C864" t="s">
        <v>192</v>
      </c>
      <c r="D864" s="110">
        <v>10786.5</v>
      </c>
      <c r="E864" s="110">
        <v>10786.5</v>
      </c>
      <c r="F864" s="110">
        <v>10786.5</v>
      </c>
      <c r="I864" s="110">
        <v>10786.5</v>
      </c>
      <c r="J864" s="110">
        <v>10786.5</v>
      </c>
      <c r="K864" s="110">
        <v>10786.5</v>
      </c>
    </row>
    <row r="865" spans="1:12" x14ac:dyDescent="0.2">
      <c r="A865" t="s">
        <v>23</v>
      </c>
      <c r="B865" t="s">
        <v>106</v>
      </c>
      <c r="C865" t="s">
        <v>193</v>
      </c>
      <c r="D865" s="110">
        <v>13202</v>
      </c>
      <c r="E865" s="110">
        <v>12802</v>
      </c>
      <c r="I865" s="110">
        <v>12802</v>
      </c>
      <c r="J865" s="110">
        <v>12802</v>
      </c>
    </row>
    <row r="866" spans="1:12" x14ac:dyDescent="0.2">
      <c r="A866" t="s">
        <v>23</v>
      </c>
      <c r="B866" t="s">
        <v>106</v>
      </c>
      <c r="C866" t="s">
        <v>194</v>
      </c>
      <c r="D866" s="110">
        <v>17675.5</v>
      </c>
      <c r="I866" s="110">
        <v>16025.5</v>
      </c>
    </row>
    <row r="867" spans="1:12" x14ac:dyDescent="0.2">
      <c r="A867" t="s">
        <v>23</v>
      </c>
      <c r="B867" t="s">
        <v>107</v>
      </c>
      <c r="C867" t="s">
        <v>191</v>
      </c>
      <c r="D867" s="110">
        <v>7284</v>
      </c>
      <c r="E867" s="110">
        <v>7284</v>
      </c>
      <c r="F867" s="110">
        <v>7284</v>
      </c>
      <c r="G867" s="110">
        <v>7284</v>
      </c>
      <c r="I867" s="110">
        <v>7169</v>
      </c>
      <c r="J867" s="110">
        <v>7284</v>
      </c>
      <c r="K867" s="110">
        <v>7284</v>
      </c>
      <c r="L867" s="110">
        <v>7284</v>
      </c>
    </row>
    <row r="868" spans="1:12" x14ac:dyDescent="0.2">
      <c r="A868" t="s">
        <v>23</v>
      </c>
      <c r="B868" t="s">
        <v>107</v>
      </c>
      <c r="C868" t="s">
        <v>192</v>
      </c>
      <c r="D868" s="110">
        <v>10185</v>
      </c>
      <c r="E868" s="110">
        <v>10185</v>
      </c>
      <c r="F868" s="110">
        <v>10185</v>
      </c>
      <c r="I868" s="110">
        <v>10185</v>
      </c>
      <c r="J868" s="110">
        <v>10185</v>
      </c>
      <c r="K868" s="110">
        <v>10185</v>
      </c>
    </row>
    <row r="869" spans="1:12" x14ac:dyDescent="0.2">
      <c r="A869" t="s">
        <v>23</v>
      </c>
      <c r="B869" t="s">
        <v>107</v>
      </c>
      <c r="C869" t="s">
        <v>193</v>
      </c>
      <c r="D869" s="110">
        <v>7748</v>
      </c>
      <c r="E869" s="110">
        <v>7748</v>
      </c>
      <c r="I869" s="110">
        <v>7748</v>
      </c>
      <c r="J869" s="110">
        <v>7748</v>
      </c>
    </row>
    <row r="870" spans="1:12" x14ac:dyDescent="0.2">
      <c r="A870" t="s">
        <v>23</v>
      </c>
      <c r="B870" t="s">
        <v>107</v>
      </c>
      <c r="C870" t="s">
        <v>194</v>
      </c>
      <c r="D870" s="110">
        <v>12143.62</v>
      </c>
      <c r="I870" s="110">
        <v>12143.62</v>
      </c>
    </row>
    <row r="871" spans="1:12" x14ac:dyDescent="0.2">
      <c r="A871" t="s">
        <v>23</v>
      </c>
      <c r="B871" t="s">
        <v>108</v>
      </c>
      <c r="C871" t="s">
        <v>191</v>
      </c>
      <c r="D871" s="110">
        <v>4282</v>
      </c>
      <c r="E871" s="110">
        <v>4632</v>
      </c>
      <c r="F871" s="110">
        <v>4632</v>
      </c>
      <c r="G871" s="110">
        <v>4632</v>
      </c>
      <c r="I871" s="110">
        <v>4282</v>
      </c>
      <c r="J871" s="110">
        <v>4632</v>
      </c>
      <c r="K871" s="110">
        <v>4632</v>
      </c>
      <c r="L871" s="110">
        <v>4632</v>
      </c>
    </row>
    <row r="872" spans="1:12" x14ac:dyDescent="0.2">
      <c r="A872" t="s">
        <v>23</v>
      </c>
      <c r="B872" t="s">
        <v>108</v>
      </c>
      <c r="C872" t="s">
        <v>192</v>
      </c>
      <c r="D872" s="110">
        <v>8466</v>
      </c>
      <c r="E872" s="110">
        <v>8121</v>
      </c>
      <c r="F872" s="110">
        <v>8121</v>
      </c>
      <c r="I872" s="110">
        <v>8066</v>
      </c>
      <c r="J872" s="110">
        <v>8121</v>
      </c>
      <c r="K872" s="110">
        <v>8121</v>
      </c>
    </row>
    <row r="873" spans="1:12" x14ac:dyDescent="0.2">
      <c r="A873" t="s">
        <v>23</v>
      </c>
      <c r="B873" t="s">
        <v>108</v>
      </c>
      <c r="C873" t="s">
        <v>193</v>
      </c>
      <c r="D873" s="110">
        <v>8359</v>
      </c>
      <c r="E873" s="110">
        <v>8359</v>
      </c>
      <c r="I873" s="110">
        <v>8359</v>
      </c>
      <c r="J873" s="110">
        <v>8359</v>
      </c>
    </row>
    <row r="874" spans="1:12" x14ac:dyDescent="0.2">
      <c r="A874" t="s">
        <v>23</v>
      </c>
      <c r="B874" t="s">
        <v>108</v>
      </c>
      <c r="C874" t="s">
        <v>194</v>
      </c>
      <c r="D874" s="110">
        <v>6085</v>
      </c>
      <c r="I874" s="110">
        <v>6085</v>
      </c>
    </row>
    <row r="875" spans="1:12" x14ac:dyDescent="0.2">
      <c r="A875" t="s">
        <v>23</v>
      </c>
      <c r="B875" t="s">
        <v>70</v>
      </c>
      <c r="C875" t="s">
        <v>191</v>
      </c>
      <c r="D875" s="110">
        <v>7286.15</v>
      </c>
      <c r="E875" s="110">
        <v>6686.15</v>
      </c>
      <c r="F875" s="110">
        <v>6386.15</v>
      </c>
      <c r="G875" s="110">
        <v>6386.15</v>
      </c>
      <c r="I875" s="110">
        <v>6386.15</v>
      </c>
      <c r="J875" s="110">
        <v>6386.15</v>
      </c>
      <c r="K875" s="110">
        <v>6386.15</v>
      </c>
      <c r="L875" s="110">
        <v>6386.15</v>
      </c>
    </row>
    <row r="876" spans="1:12" x14ac:dyDescent="0.2">
      <c r="A876" t="s">
        <v>23</v>
      </c>
      <c r="B876" t="s">
        <v>70</v>
      </c>
      <c r="C876" t="s">
        <v>192</v>
      </c>
      <c r="D876" s="110">
        <v>4492.3</v>
      </c>
      <c r="E876" s="110">
        <v>4492.3</v>
      </c>
      <c r="F876" s="110">
        <v>4492.3</v>
      </c>
      <c r="I876" s="110">
        <v>4192.3</v>
      </c>
      <c r="J876" s="110">
        <v>4492.3</v>
      </c>
      <c r="K876" s="110">
        <v>4492.3</v>
      </c>
    </row>
    <row r="877" spans="1:12" x14ac:dyDescent="0.2">
      <c r="A877" t="s">
        <v>23</v>
      </c>
      <c r="B877" t="s">
        <v>70</v>
      </c>
      <c r="C877" t="s">
        <v>193</v>
      </c>
      <c r="D877" s="110">
        <v>9651.2999999999993</v>
      </c>
      <c r="E877" s="110">
        <v>9651.2999999999993</v>
      </c>
      <c r="I877" s="110">
        <v>9651.2999999999993</v>
      </c>
      <c r="J877" s="110">
        <v>9651.2999999999993</v>
      </c>
    </row>
    <row r="878" spans="1:12" x14ac:dyDescent="0.2">
      <c r="A878" t="s">
        <v>23</v>
      </c>
      <c r="B878" t="s">
        <v>70</v>
      </c>
      <c r="C878" t="s">
        <v>194</v>
      </c>
      <c r="D878" s="110">
        <v>6327</v>
      </c>
      <c r="I878" s="110">
        <v>5919</v>
      </c>
    </row>
    <row r="879" spans="1:12" x14ac:dyDescent="0.2">
      <c r="A879" t="s">
        <v>23</v>
      </c>
      <c r="B879" t="s">
        <v>110</v>
      </c>
      <c r="C879" t="s">
        <v>191</v>
      </c>
      <c r="D879" s="110">
        <v>9677.25</v>
      </c>
      <c r="E879" s="110">
        <v>9216.75</v>
      </c>
      <c r="F879" s="110">
        <v>9216.75</v>
      </c>
      <c r="G879" s="110">
        <v>9216.75</v>
      </c>
      <c r="I879" s="110">
        <v>3952.75</v>
      </c>
      <c r="J879" s="110">
        <v>7271.75</v>
      </c>
      <c r="K879" s="110">
        <v>7901.75</v>
      </c>
      <c r="L879" s="110">
        <v>7986.75</v>
      </c>
    </row>
    <row r="880" spans="1:12" x14ac:dyDescent="0.2">
      <c r="A880" t="s">
        <v>23</v>
      </c>
      <c r="B880" t="s">
        <v>110</v>
      </c>
      <c r="C880" t="s">
        <v>192</v>
      </c>
      <c r="D880" s="110">
        <v>13707.75</v>
      </c>
      <c r="E880" s="110">
        <v>13546.75</v>
      </c>
      <c r="F880" s="110">
        <v>13290.75</v>
      </c>
      <c r="I880" s="110">
        <v>5248.75</v>
      </c>
      <c r="J880" s="110">
        <v>9255.75</v>
      </c>
      <c r="K880" s="110">
        <v>9638.75</v>
      </c>
    </row>
    <row r="881" spans="1:12" x14ac:dyDescent="0.2">
      <c r="A881" t="s">
        <v>23</v>
      </c>
      <c r="B881" t="s">
        <v>110</v>
      </c>
      <c r="C881" t="s">
        <v>193</v>
      </c>
      <c r="D881" s="110">
        <v>14222.01</v>
      </c>
      <c r="E881" s="110">
        <v>13915.01</v>
      </c>
      <c r="I881" s="110">
        <v>7117.01</v>
      </c>
      <c r="J881" s="110">
        <v>11592.01</v>
      </c>
    </row>
    <row r="882" spans="1:12" x14ac:dyDescent="0.2">
      <c r="A882" t="s">
        <v>23</v>
      </c>
      <c r="B882" t="s">
        <v>110</v>
      </c>
      <c r="C882" t="s">
        <v>194</v>
      </c>
      <c r="D882" s="110">
        <v>12031.5</v>
      </c>
      <c r="I882" s="110">
        <v>5984.25</v>
      </c>
    </row>
    <row r="883" spans="1:12" x14ac:dyDescent="0.2">
      <c r="A883" t="s">
        <v>24</v>
      </c>
      <c r="B883" t="s">
        <v>104</v>
      </c>
      <c r="C883" t="s">
        <v>191</v>
      </c>
      <c r="D883" s="110">
        <v>49421</v>
      </c>
      <c r="E883" s="110">
        <v>49421</v>
      </c>
      <c r="F883" s="110">
        <v>49421</v>
      </c>
      <c r="G883" s="110">
        <v>49421</v>
      </c>
      <c r="I883" s="110">
        <v>1793.79</v>
      </c>
      <c r="J883" s="110">
        <v>4115.75</v>
      </c>
      <c r="K883" s="110">
        <v>5114.04</v>
      </c>
      <c r="L883" s="110">
        <v>7377.17</v>
      </c>
    </row>
    <row r="884" spans="1:12" x14ac:dyDescent="0.2">
      <c r="A884" t="s">
        <v>24</v>
      </c>
      <c r="B884" t="s">
        <v>104</v>
      </c>
      <c r="C884" t="s">
        <v>192</v>
      </c>
      <c r="D884" s="110">
        <v>70857</v>
      </c>
      <c r="E884" s="110">
        <v>70857</v>
      </c>
      <c r="F884" s="110">
        <v>70857</v>
      </c>
      <c r="I884" s="110">
        <v>3162.84</v>
      </c>
      <c r="J884" s="110">
        <v>6487.07</v>
      </c>
      <c r="K884" s="110">
        <v>9232.11</v>
      </c>
    </row>
    <row r="885" spans="1:12" x14ac:dyDescent="0.2">
      <c r="A885" t="s">
        <v>24</v>
      </c>
      <c r="B885" t="s">
        <v>104</v>
      </c>
      <c r="C885" t="s">
        <v>193</v>
      </c>
      <c r="D885" s="110">
        <v>60954.5</v>
      </c>
      <c r="E885" s="110">
        <v>60244.5</v>
      </c>
      <c r="I885" s="110">
        <v>1853.34</v>
      </c>
      <c r="J885" s="110">
        <v>6955.38</v>
      </c>
    </row>
    <row r="886" spans="1:12" x14ac:dyDescent="0.2">
      <c r="A886" t="s">
        <v>24</v>
      </c>
      <c r="B886" t="s">
        <v>104</v>
      </c>
      <c r="C886" t="s">
        <v>194</v>
      </c>
      <c r="D886" s="110">
        <v>70102.5</v>
      </c>
      <c r="I886" s="110">
        <v>3384.96</v>
      </c>
    </row>
    <row r="887" spans="1:12" x14ac:dyDescent="0.2">
      <c r="A887" t="s">
        <v>24</v>
      </c>
      <c r="B887" t="s">
        <v>140</v>
      </c>
      <c r="C887" t="s">
        <v>191</v>
      </c>
    </row>
    <row r="888" spans="1:12" x14ac:dyDescent="0.2">
      <c r="A888" t="s">
        <v>24</v>
      </c>
      <c r="B888" t="s">
        <v>140</v>
      </c>
      <c r="C888" t="s">
        <v>192</v>
      </c>
    </row>
    <row r="889" spans="1:12" x14ac:dyDescent="0.2">
      <c r="A889" t="s">
        <v>24</v>
      </c>
      <c r="B889" t="s">
        <v>140</v>
      </c>
      <c r="C889" t="s">
        <v>193</v>
      </c>
    </row>
    <row r="890" spans="1:12" x14ac:dyDescent="0.2">
      <c r="A890" t="s">
        <v>24</v>
      </c>
      <c r="B890" t="s">
        <v>140</v>
      </c>
      <c r="C890" t="s">
        <v>194</v>
      </c>
    </row>
    <row r="891" spans="1:12" x14ac:dyDescent="0.2">
      <c r="A891" t="s">
        <v>24</v>
      </c>
      <c r="B891" t="s">
        <v>105</v>
      </c>
      <c r="C891" t="s">
        <v>191</v>
      </c>
      <c r="D891" s="110">
        <v>22243.5</v>
      </c>
      <c r="E891" s="110">
        <v>22243.5</v>
      </c>
      <c r="F891" s="110">
        <v>22243.5</v>
      </c>
      <c r="G891" s="110">
        <v>22243.5</v>
      </c>
      <c r="I891" s="110">
        <v>7995</v>
      </c>
      <c r="J891" s="110">
        <v>11932.5</v>
      </c>
      <c r="K891" s="110">
        <v>12548.5</v>
      </c>
      <c r="L891" s="110">
        <v>12658.5</v>
      </c>
    </row>
    <row r="892" spans="1:12" x14ac:dyDescent="0.2">
      <c r="A892" t="s">
        <v>24</v>
      </c>
      <c r="B892" t="s">
        <v>105</v>
      </c>
      <c r="C892" t="s">
        <v>192</v>
      </c>
      <c r="D892" s="110">
        <v>18522</v>
      </c>
      <c r="E892" s="110">
        <v>18522</v>
      </c>
      <c r="F892" s="110">
        <v>18472</v>
      </c>
      <c r="I892" s="110">
        <v>7923</v>
      </c>
      <c r="J892" s="110">
        <v>9028</v>
      </c>
      <c r="K892" s="110">
        <v>9778</v>
      </c>
    </row>
    <row r="893" spans="1:12" x14ac:dyDescent="0.2">
      <c r="A893" t="s">
        <v>24</v>
      </c>
      <c r="B893" t="s">
        <v>105</v>
      </c>
      <c r="C893" t="s">
        <v>193</v>
      </c>
      <c r="D893" s="110">
        <v>29128.5</v>
      </c>
      <c r="E893" s="110">
        <v>29128.5</v>
      </c>
      <c r="I893" s="110">
        <v>12228.5</v>
      </c>
      <c r="J893" s="110">
        <v>15977.5</v>
      </c>
    </row>
    <row r="894" spans="1:12" x14ac:dyDescent="0.2">
      <c r="A894" t="s">
        <v>24</v>
      </c>
      <c r="B894" t="s">
        <v>105</v>
      </c>
      <c r="C894" t="s">
        <v>194</v>
      </c>
      <c r="D894" s="110">
        <v>28164.6</v>
      </c>
      <c r="I894" s="110">
        <v>9753.5</v>
      </c>
    </row>
    <row r="895" spans="1:12" x14ac:dyDescent="0.2">
      <c r="A895" t="s">
        <v>24</v>
      </c>
      <c r="B895" t="s">
        <v>111</v>
      </c>
      <c r="C895" t="s">
        <v>191</v>
      </c>
    </row>
    <row r="896" spans="1:12" x14ac:dyDescent="0.2">
      <c r="A896" t="s">
        <v>24</v>
      </c>
      <c r="B896" t="s">
        <v>111</v>
      </c>
      <c r="C896" t="s">
        <v>192</v>
      </c>
    </row>
    <row r="897" spans="1:12" x14ac:dyDescent="0.2">
      <c r="A897" t="s">
        <v>24</v>
      </c>
      <c r="B897" t="s">
        <v>111</v>
      </c>
      <c r="C897" t="s">
        <v>193</v>
      </c>
    </row>
    <row r="898" spans="1:12" x14ac:dyDescent="0.2">
      <c r="A898" t="s">
        <v>24</v>
      </c>
      <c r="B898" t="s">
        <v>111</v>
      </c>
      <c r="C898" t="s">
        <v>194</v>
      </c>
    </row>
    <row r="899" spans="1:12" x14ac:dyDescent="0.2">
      <c r="A899" t="s">
        <v>24</v>
      </c>
      <c r="B899" t="s">
        <v>109</v>
      </c>
      <c r="C899" t="s">
        <v>191</v>
      </c>
      <c r="D899" s="110">
        <v>30891</v>
      </c>
      <c r="E899" s="110">
        <v>30891</v>
      </c>
      <c r="F899" s="110">
        <v>30891</v>
      </c>
      <c r="G899" s="110">
        <v>29446</v>
      </c>
      <c r="I899" s="110">
        <v>10961</v>
      </c>
      <c r="J899" s="110">
        <v>18755</v>
      </c>
      <c r="K899" s="110">
        <v>19671</v>
      </c>
      <c r="L899" s="110">
        <v>19771</v>
      </c>
    </row>
    <row r="900" spans="1:12" x14ac:dyDescent="0.2">
      <c r="A900" t="s">
        <v>24</v>
      </c>
      <c r="B900" t="s">
        <v>109</v>
      </c>
      <c r="C900" t="s">
        <v>192</v>
      </c>
      <c r="D900" s="110">
        <v>29044.5</v>
      </c>
      <c r="E900" s="110">
        <v>29044.5</v>
      </c>
      <c r="F900" s="110">
        <v>29039.5</v>
      </c>
      <c r="I900" s="110">
        <v>14947.5</v>
      </c>
      <c r="J900" s="110">
        <v>17595.5</v>
      </c>
      <c r="K900" s="110">
        <v>18845.5</v>
      </c>
    </row>
    <row r="901" spans="1:12" x14ac:dyDescent="0.2">
      <c r="A901" t="s">
        <v>24</v>
      </c>
      <c r="B901" t="s">
        <v>109</v>
      </c>
      <c r="C901" t="s">
        <v>193</v>
      </c>
      <c r="D901" s="110">
        <v>31974</v>
      </c>
      <c r="E901" s="110">
        <v>31974</v>
      </c>
      <c r="I901" s="110">
        <v>13516</v>
      </c>
      <c r="J901" s="110">
        <v>15721</v>
      </c>
    </row>
    <row r="902" spans="1:12" x14ac:dyDescent="0.2">
      <c r="A902" t="s">
        <v>24</v>
      </c>
      <c r="B902" t="s">
        <v>109</v>
      </c>
      <c r="C902" t="s">
        <v>194</v>
      </c>
      <c r="D902" s="110">
        <v>32016</v>
      </c>
      <c r="I902" s="110">
        <v>11931</v>
      </c>
    </row>
    <row r="903" spans="1:12" x14ac:dyDescent="0.2">
      <c r="A903" t="s">
        <v>24</v>
      </c>
      <c r="B903" t="s">
        <v>106</v>
      </c>
      <c r="C903" t="s">
        <v>191</v>
      </c>
      <c r="D903" s="110">
        <v>13580</v>
      </c>
      <c r="E903" s="110">
        <v>13180</v>
      </c>
      <c r="F903" s="110">
        <v>13180</v>
      </c>
      <c r="G903" s="110">
        <v>13180</v>
      </c>
      <c r="I903" s="110">
        <v>11910</v>
      </c>
      <c r="J903" s="110">
        <v>12370</v>
      </c>
      <c r="K903" s="110">
        <v>12370</v>
      </c>
      <c r="L903" s="110">
        <v>12370</v>
      </c>
    </row>
    <row r="904" spans="1:12" x14ac:dyDescent="0.2">
      <c r="A904" t="s">
        <v>24</v>
      </c>
      <c r="B904" t="s">
        <v>106</v>
      </c>
      <c r="C904" t="s">
        <v>192</v>
      </c>
      <c r="D904" s="110">
        <v>7717</v>
      </c>
      <c r="E904" s="110">
        <v>7717</v>
      </c>
      <c r="F904" s="110">
        <v>7717</v>
      </c>
      <c r="I904" s="110">
        <v>6887</v>
      </c>
      <c r="J904" s="110">
        <v>6887</v>
      </c>
      <c r="K904" s="110">
        <v>6917</v>
      </c>
    </row>
    <row r="905" spans="1:12" x14ac:dyDescent="0.2">
      <c r="A905" t="s">
        <v>24</v>
      </c>
      <c r="B905" t="s">
        <v>106</v>
      </c>
      <c r="C905" t="s">
        <v>193</v>
      </c>
      <c r="D905" s="110">
        <v>7496</v>
      </c>
      <c r="E905" s="110">
        <v>7496</v>
      </c>
      <c r="I905" s="110">
        <v>6691</v>
      </c>
      <c r="J905" s="110">
        <v>6691</v>
      </c>
    </row>
    <row r="906" spans="1:12" x14ac:dyDescent="0.2">
      <c r="A906" t="s">
        <v>24</v>
      </c>
      <c r="B906" t="s">
        <v>106</v>
      </c>
      <c r="C906" t="s">
        <v>194</v>
      </c>
      <c r="D906" s="110">
        <v>18753.5</v>
      </c>
      <c r="I906" s="110">
        <v>18343.5</v>
      </c>
    </row>
    <row r="907" spans="1:12" x14ac:dyDescent="0.2">
      <c r="A907" t="s">
        <v>24</v>
      </c>
      <c r="B907" t="s">
        <v>107</v>
      </c>
      <c r="C907" t="s">
        <v>191</v>
      </c>
      <c r="D907" s="110">
        <v>11405</v>
      </c>
      <c r="E907" s="110">
        <v>11405</v>
      </c>
      <c r="F907" s="110">
        <v>11405</v>
      </c>
      <c r="G907" s="110">
        <v>11405</v>
      </c>
      <c r="I907" s="110">
        <v>10795</v>
      </c>
      <c r="J907" s="110">
        <v>11405</v>
      </c>
      <c r="K907" s="110">
        <v>11405</v>
      </c>
      <c r="L907" s="110">
        <v>11405</v>
      </c>
    </row>
    <row r="908" spans="1:12" x14ac:dyDescent="0.2">
      <c r="A908" t="s">
        <v>24</v>
      </c>
      <c r="B908" t="s">
        <v>107</v>
      </c>
      <c r="C908" t="s">
        <v>192</v>
      </c>
      <c r="D908" s="110">
        <v>14093.5</v>
      </c>
      <c r="E908" s="110">
        <v>14093.5</v>
      </c>
      <c r="F908" s="110">
        <v>14093.5</v>
      </c>
      <c r="I908" s="110">
        <v>12588.5</v>
      </c>
      <c r="J908" s="110">
        <v>13588.5</v>
      </c>
      <c r="K908" s="110">
        <v>13588.5</v>
      </c>
    </row>
    <row r="909" spans="1:12" x14ac:dyDescent="0.2">
      <c r="A909" t="s">
        <v>24</v>
      </c>
      <c r="B909" t="s">
        <v>107</v>
      </c>
      <c r="C909" t="s">
        <v>193</v>
      </c>
      <c r="D909" s="110">
        <v>12095</v>
      </c>
      <c r="E909" s="110">
        <v>12095</v>
      </c>
      <c r="I909" s="110">
        <v>11630</v>
      </c>
      <c r="J909" s="110">
        <v>11630</v>
      </c>
    </row>
    <row r="910" spans="1:12" x14ac:dyDescent="0.2">
      <c r="A910" t="s">
        <v>24</v>
      </c>
      <c r="B910" t="s">
        <v>107</v>
      </c>
      <c r="C910" t="s">
        <v>194</v>
      </c>
      <c r="D910" s="110">
        <v>16000</v>
      </c>
      <c r="I910" s="110">
        <v>15980</v>
      </c>
    </row>
    <row r="911" spans="1:12" x14ac:dyDescent="0.2">
      <c r="A911" t="s">
        <v>24</v>
      </c>
      <c r="B911" t="s">
        <v>108</v>
      </c>
      <c r="C911" t="s">
        <v>191</v>
      </c>
      <c r="D911" s="110">
        <v>3996</v>
      </c>
      <c r="E911" s="110">
        <v>3996</v>
      </c>
      <c r="F911" s="110">
        <v>3996</v>
      </c>
      <c r="G911" s="110">
        <v>3996</v>
      </c>
      <c r="I911" s="110">
        <v>3996</v>
      </c>
      <c r="J911" s="110">
        <v>3996</v>
      </c>
      <c r="K911" s="110">
        <v>3996</v>
      </c>
      <c r="L911" s="110">
        <v>3996</v>
      </c>
    </row>
    <row r="912" spans="1:12" x14ac:dyDescent="0.2">
      <c r="A912" t="s">
        <v>24</v>
      </c>
      <c r="B912" t="s">
        <v>108</v>
      </c>
      <c r="C912" t="s">
        <v>192</v>
      </c>
      <c r="D912" s="110">
        <v>5427</v>
      </c>
      <c r="E912" s="110">
        <v>5427</v>
      </c>
      <c r="F912" s="110">
        <v>5427</v>
      </c>
      <c r="I912" s="110">
        <v>4682</v>
      </c>
      <c r="J912" s="110">
        <v>5082</v>
      </c>
      <c r="K912" s="110">
        <v>5082</v>
      </c>
    </row>
    <row r="913" spans="1:12" x14ac:dyDescent="0.2">
      <c r="A913" t="s">
        <v>24</v>
      </c>
      <c r="B913" t="s">
        <v>108</v>
      </c>
      <c r="C913" t="s">
        <v>193</v>
      </c>
      <c r="D913" s="110">
        <v>5378</v>
      </c>
      <c r="E913" s="110">
        <v>5378</v>
      </c>
      <c r="I913" s="110">
        <v>5147</v>
      </c>
      <c r="J913" s="110">
        <v>5147</v>
      </c>
    </row>
    <row r="914" spans="1:12" x14ac:dyDescent="0.2">
      <c r="A914" t="s">
        <v>24</v>
      </c>
      <c r="B914" t="s">
        <v>108</v>
      </c>
      <c r="C914" t="s">
        <v>194</v>
      </c>
      <c r="D914" s="110">
        <v>2467</v>
      </c>
      <c r="I914" s="110">
        <v>2467</v>
      </c>
    </row>
    <row r="915" spans="1:12" x14ac:dyDescent="0.2">
      <c r="A915" t="s">
        <v>24</v>
      </c>
      <c r="B915" t="s">
        <v>70</v>
      </c>
      <c r="C915" t="s">
        <v>191</v>
      </c>
      <c r="D915" s="110">
        <v>3942</v>
      </c>
      <c r="E915" s="110">
        <v>3942</v>
      </c>
      <c r="F915" s="110">
        <v>3942</v>
      </c>
      <c r="G915" s="110">
        <v>3942</v>
      </c>
      <c r="I915" s="110">
        <v>3534</v>
      </c>
      <c r="J915" s="110">
        <v>3534</v>
      </c>
      <c r="K915" s="110">
        <v>3534</v>
      </c>
      <c r="L915" s="110">
        <v>3534</v>
      </c>
    </row>
    <row r="916" spans="1:12" x14ac:dyDescent="0.2">
      <c r="A916" t="s">
        <v>24</v>
      </c>
      <c r="B916" t="s">
        <v>70</v>
      </c>
      <c r="C916" t="s">
        <v>192</v>
      </c>
      <c r="D916" s="110">
        <v>3878</v>
      </c>
      <c r="E916" s="110">
        <v>3878</v>
      </c>
      <c r="F916" s="110">
        <v>3878</v>
      </c>
      <c r="I916" s="110">
        <v>3062</v>
      </c>
      <c r="J916" s="110">
        <v>3062</v>
      </c>
      <c r="K916" s="110">
        <v>3062</v>
      </c>
    </row>
    <row r="917" spans="1:12" x14ac:dyDescent="0.2">
      <c r="A917" t="s">
        <v>24</v>
      </c>
      <c r="B917" t="s">
        <v>70</v>
      </c>
      <c r="C917" t="s">
        <v>193</v>
      </c>
      <c r="D917" s="110">
        <v>5060</v>
      </c>
      <c r="E917" s="110">
        <v>5060</v>
      </c>
      <c r="I917" s="110">
        <v>4244</v>
      </c>
      <c r="J917" s="110">
        <v>4244</v>
      </c>
    </row>
    <row r="918" spans="1:12" x14ac:dyDescent="0.2">
      <c r="A918" t="s">
        <v>24</v>
      </c>
      <c r="B918" t="s">
        <v>70</v>
      </c>
      <c r="C918" t="s">
        <v>194</v>
      </c>
      <c r="D918" s="110">
        <v>5806</v>
      </c>
      <c r="I918" s="110">
        <v>5378</v>
      </c>
    </row>
    <row r="919" spans="1:12" x14ac:dyDescent="0.2">
      <c r="A919" t="s">
        <v>24</v>
      </c>
      <c r="B919" t="s">
        <v>110</v>
      </c>
      <c r="C919" t="s">
        <v>191</v>
      </c>
      <c r="D919" s="110">
        <v>102268</v>
      </c>
      <c r="E919" s="110">
        <v>96982</v>
      </c>
      <c r="F919" s="110">
        <v>96982</v>
      </c>
      <c r="G919" s="110">
        <v>96982</v>
      </c>
      <c r="I919" s="110">
        <v>43773</v>
      </c>
      <c r="J919" s="110">
        <v>66325</v>
      </c>
      <c r="K919" s="110">
        <v>70930</v>
      </c>
      <c r="L919" s="110">
        <v>72461</v>
      </c>
    </row>
    <row r="920" spans="1:12" x14ac:dyDescent="0.2">
      <c r="A920" t="s">
        <v>24</v>
      </c>
      <c r="B920" t="s">
        <v>110</v>
      </c>
      <c r="C920" t="s">
        <v>192</v>
      </c>
      <c r="D920" s="110">
        <v>158390.5</v>
      </c>
      <c r="E920" s="110">
        <v>151868</v>
      </c>
      <c r="F920" s="110">
        <v>151159</v>
      </c>
      <c r="I920" s="110">
        <v>62545.5</v>
      </c>
      <c r="J920" s="110">
        <v>113231</v>
      </c>
      <c r="K920" s="110">
        <v>120876</v>
      </c>
    </row>
    <row r="921" spans="1:12" x14ac:dyDescent="0.2">
      <c r="A921" t="s">
        <v>24</v>
      </c>
      <c r="B921" t="s">
        <v>110</v>
      </c>
      <c r="C921" t="s">
        <v>193</v>
      </c>
      <c r="D921" s="110">
        <v>120130</v>
      </c>
      <c r="E921" s="110">
        <v>114742.5</v>
      </c>
      <c r="I921" s="110">
        <v>44452</v>
      </c>
      <c r="J921" s="110">
        <v>72732.5</v>
      </c>
    </row>
    <row r="922" spans="1:12" x14ac:dyDescent="0.2">
      <c r="A922" t="s">
        <v>24</v>
      </c>
      <c r="B922" t="s">
        <v>110</v>
      </c>
      <c r="C922" t="s">
        <v>194</v>
      </c>
      <c r="D922" s="110">
        <v>125499</v>
      </c>
      <c r="I922" s="110">
        <v>44293</v>
      </c>
    </row>
    <row r="923" spans="1:12" x14ac:dyDescent="0.2">
      <c r="A923" t="s">
        <v>25</v>
      </c>
      <c r="B923" t="s">
        <v>104</v>
      </c>
      <c r="C923" t="s">
        <v>191</v>
      </c>
      <c r="D923" s="110">
        <v>77475.320000000007</v>
      </c>
      <c r="E923" s="110">
        <v>77475.320000000007</v>
      </c>
      <c r="F923" s="110">
        <v>77475.320000000007</v>
      </c>
      <c r="G923" s="110">
        <v>77475.320000000007</v>
      </c>
      <c r="I923" s="110">
        <v>1503.34</v>
      </c>
      <c r="J923" s="110">
        <v>6140.1</v>
      </c>
      <c r="K923" s="110">
        <v>9332.49</v>
      </c>
      <c r="L923" s="110">
        <v>13038.24</v>
      </c>
    </row>
    <row r="924" spans="1:12" x14ac:dyDescent="0.2">
      <c r="A924" t="s">
        <v>25</v>
      </c>
      <c r="B924" t="s">
        <v>104</v>
      </c>
      <c r="C924" t="s">
        <v>192</v>
      </c>
      <c r="D924" s="110">
        <v>128903.74</v>
      </c>
      <c r="E924" s="110">
        <v>128903.74</v>
      </c>
      <c r="F924" s="110">
        <v>128903.74</v>
      </c>
      <c r="I924" s="110">
        <v>3937.03</v>
      </c>
      <c r="J924" s="110">
        <v>4827.5600000000004</v>
      </c>
      <c r="K924" s="110">
        <v>6130.49</v>
      </c>
    </row>
    <row r="925" spans="1:12" x14ac:dyDescent="0.2">
      <c r="A925" t="s">
        <v>25</v>
      </c>
      <c r="B925" t="s">
        <v>104</v>
      </c>
      <c r="C925" t="s">
        <v>193</v>
      </c>
      <c r="D925" s="110">
        <v>109772.89</v>
      </c>
      <c r="E925" s="110">
        <v>109812.89</v>
      </c>
      <c r="I925" s="110">
        <v>4448.5200000000004</v>
      </c>
      <c r="J925" s="110">
        <v>6385.63</v>
      </c>
    </row>
    <row r="926" spans="1:12" x14ac:dyDescent="0.2">
      <c r="A926" t="s">
        <v>25</v>
      </c>
      <c r="B926" t="s">
        <v>104</v>
      </c>
      <c r="C926" t="s">
        <v>194</v>
      </c>
      <c r="D926" s="110">
        <v>106613.5</v>
      </c>
      <c r="I926" s="110">
        <v>1076.05</v>
      </c>
    </row>
    <row r="927" spans="1:12" x14ac:dyDescent="0.2">
      <c r="A927" t="s">
        <v>25</v>
      </c>
      <c r="B927" t="s">
        <v>140</v>
      </c>
      <c r="C927" t="s">
        <v>191</v>
      </c>
      <c r="D927" s="110">
        <v>50</v>
      </c>
      <c r="E927" s="110">
        <v>50</v>
      </c>
      <c r="F927" s="110">
        <v>50</v>
      </c>
      <c r="G927" s="110">
        <v>50</v>
      </c>
    </row>
    <row r="928" spans="1:12" x14ac:dyDescent="0.2">
      <c r="A928" t="s">
        <v>25</v>
      </c>
      <c r="B928" t="s">
        <v>140</v>
      </c>
      <c r="C928" t="s">
        <v>192</v>
      </c>
      <c r="D928" s="110">
        <v>53620</v>
      </c>
      <c r="E928" s="110">
        <v>53620</v>
      </c>
      <c r="F928" s="110">
        <v>53620</v>
      </c>
    </row>
    <row r="929" spans="1:12" x14ac:dyDescent="0.2">
      <c r="A929" t="s">
        <v>25</v>
      </c>
      <c r="B929" t="s">
        <v>140</v>
      </c>
      <c r="C929" t="s">
        <v>193</v>
      </c>
    </row>
    <row r="930" spans="1:12" x14ac:dyDescent="0.2">
      <c r="A930" t="s">
        <v>25</v>
      </c>
      <c r="B930" t="s">
        <v>140</v>
      </c>
      <c r="C930" t="s">
        <v>194</v>
      </c>
    </row>
    <row r="931" spans="1:12" x14ac:dyDescent="0.2">
      <c r="A931" t="s">
        <v>25</v>
      </c>
      <c r="B931" t="s">
        <v>105</v>
      </c>
      <c r="C931" t="s">
        <v>191</v>
      </c>
      <c r="D931" s="110">
        <v>25015</v>
      </c>
      <c r="E931" s="110">
        <v>23740</v>
      </c>
      <c r="F931" s="110">
        <v>23740</v>
      </c>
      <c r="G931" s="110">
        <v>23740</v>
      </c>
      <c r="I931" s="110">
        <v>7431</v>
      </c>
      <c r="J931" s="110">
        <v>10423</v>
      </c>
      <c r="K931" s="110">
        <v>11616</v>
      </c>
      <c r="L931" s="110">
        <v>12911</v>
      </c>
    </row>
    <row r="932" spans="1:12" x14ac:dyDescent="0.2">
      <c r="A932" t="s">
        <v>25</v>
      </c>
      <c r="B932" t="s">
        <v>105</v>
      </c>
      <c r="C932" t="s">
        <v>192</v>
      </c>
      <c r="D932" s="110">
        <v>40488</v>
      </c>
      <c r="E932" s="110">
        <v>39041</v>
      </c>
      <c r="F932" s="110">
        <v>38791</v>
      </c>
      <c r="I932" s="110">
        <v>9806.36</v>
      </c>
      <c r="J932" s="110">
        <v>17470.43</v>
      </c>
      <c r="K932" s="110">
        <v>19400</v>
      </c>
    </row>
    <row r="933" spans="1:12" x14ac:dyDescent="0.2">
      <c r="A933" t="s">
        <v>25</v>
      </c>
      <c r="B933" t="s">
        <v>105</v>
      </c>
      <c r="C933" t="s">
        <v>193</v>
      </c>
      <c r="D933" s="110">
        <v>38819.1</v>
      </c>
      <c r="E933" s="110">
        <v>38819.1</v>
      </c>
      <c r="I933" s="110">
        <v>6671.1</v>
      </c>
      <c r="J933" s="110">
        <v>12493.6</v>
      </c>
    </row>
    <row r="934" spans="1:12" x14ac:dyDescent="0.2">
      <c r="A934" t="s">
        <v>25</v>
      </c>
      <c r="B934" t="s">
        <v>105</v>
      </c>
      <c r="C934" t="s">
        <v>194</v>
      </c>
      <c r="D934" s="110">
        <v>35799.339999999997</v>
      </c>
      <c r="I934" s="110">
        <v>4899</v>
      </c>
    </row>
    <row r="935" spans="1:12" x14ac:dyDescent="0.2">
      <c r="A935" t="s">
        <v>25</v>
      </c>
      <c r="B935" t="s">
        <v>111</v>
      </c>
      <c r="C935" t="s">
        <v>191</v>
      </c>
      <c r="D935" s="110">
        <v>1470</v>
      </c>
      <c r="E935" s="110">
        <v>1420</v>
      </c>
      <c r="F935" s="110">
        <v>1250</v>
      </c>
      <c r="G935" s="110">
        <v>1160</v>
      </c>
      <c r="I935" s="110">
        <v>250</v>
      </c>
      <c r="J935" s="110">
        <v>300</v>
      </c>
      <c r="K935" s="110">
        <v>350</v>
      </c>
      <c r="L935" s="110">
        <v>350</v>
      </c>
    </row>
    <row r="936" spans="1:12" x14ac:dyDescent="0.2">
      <c r="A936" t="s">
        <v>25</v>
      </c>
      <c r="B936" t="s">
        <v>111</v>
      </c>
      <c r="C936" t="s">
        <v>192</v>
      </c>
      <c r="D936" s="110">
        <v>2933</v>
      </c>
      <c r="E936" s="110">
        <v>2933</v>
      </c>
      <c r="F936" s="110">
        <v>2933</v>
      </c>
      <c r="I936" s="110">
        <v>250</v>
      </c>
      <c r="J936" s="110">
        <v>370</v>
      </c>
      <c r="K936" s="110">
        <v>660</v>
      </c>
    </row>
    <row r="937" spans="1:12" x14ac:dyDescent="0.2">
      <c r="A937" t="s">
        <v>25</v>
      </c>
      <c r="B937" t="s">
        <v>111</v>
      </c>
      <c r="C937" t="s">
        <v>193</v>
      </c>
      <c r="D937" s="110">
        <v>4814.5</v>
      </c>
      <c r="E937" s="110">
        <v>4814.5</v>
      </c>
      <c r="I937" s="110">
        <v>153.5</v>
      </c>
      <c r="J937" s="110">
        <v>503.5</v>
      </c>
    </row>
    <row r="938" spans="1:12" x14ac:dyDescent="0.2">
      <c r="A938" t="s">
        <v>25</v>
      </c>
      <c r="B938" t="s">
        <v>111</v>
      </c>
      <c r="C938" t="s">
        <v>194</v>
      </c>
      <c r="D938" s="110">
        <v>3340</v>
      </c>
      <c r="I938" s="110">
        <v>400</v>
      </c>
    </row>
    <row r="939" spans="1:12" x14ac:dyDescent="0.2">
      <c r="A939" t="s">
        <v>25</v>
      </c>
      <c r="B939" t="s">
        <v>109</v>
      </c>
      <c r="C939" t="s">
        <v>191</v>
      </c>
      <c r="D939" s="110">
        <v>43101.25</v>
      </c>
      <c r="E939" s="110">
        <v>42867.25</v>
      </c>
      <c r="F939" s="110">
        <v>42844.25</v>
      </c>
      <c r="G939" s="110">
        <v>42844.25</v>
      </c>
      <c r="I939" s="110">
        <v>17179</v>
      </c>
      <c r="J939" s="110">
        <v>24550</v>
      </c>
      <c r="K939" s="110">
        <v>29066.25</v>
      </c>
      <c r="L939" s="110">
        <v>33278.25</v>
      </c>
    </row>
    <row r="940" spans="1:12" x14ac:dyDescent="0.2">
      <c r="A940" t="s">
        <v>25</v>
      </c>
      <c r="B940" t="s">
        <v>109</v>
      </c>
      <c r="C940" t="s">
        <v>192</v>
      </c>
      <c r="D940" s="110">
        <v>60807.37</v>
      </c>
      <c r="E940" s="110">
        <v>60780.37</v>
      </c>
      <c r="F940" s="110">
        <v>60780.37</v>
      </c>
      <c r="I940" s="110">
        <v>30491.09</v>
      </c>
      <c r="J940" s="110">
        <v>39363.29</v>
      </c>
      <c r="K940" s="110">
        <v>43683.18</v>
      </c>
    </row>
    <row r="941" spans="1:12" x14ac:dyDescent="0.2">
      <c r="A941" t="s">
        <v>25</v>
      </c>
      <c r="B941" t="s">
        <v>109</v>
      </c>
      <c r="C941" t="s">
        <v>193</v>
      </c>
      <c r="D941" s="110">
        <v>64059.41</v>
      </c>
      <c r="E941" s="110">
        <v>65662.41</v>
      </c>
      <c r="I941" s="110">
        <v>30420.41</v>
      </c>
      <c r="J941" s="110">
        <v>44007.839999999997</v>
      </c>
    </row>
    <row r="942" spans="1:12" x14ac:dyDescent="0.2">
      <c r="A942" t="s">
        <v>25</v>
      </c>
      <c r="B942" t="s">
        <v>109</v>
      </c>
      <c r="C942" t="s">
        <v>194</v>
      </c>
      <c r="D942" s="110">
        <v>50922.46</v>
      </c>
      <c r="I942" s="110">
        <v>24941.55</v>
      </c>
    </row>
    <row r="943" spans="1:12" x14ac:dyDescent="0.2">
      <c r="A943" t="s">
        <v>25</v>
      </c>
      <c r="B943" t="s">
        <v>106</v>
      </c>
      <c r="C943" t="s">
        <v>191</v>
      </c>
      <c r="D943" s="110">
        <v>8159</v>
      </c>
      <c r="E943" s="110">
        <v>8109</v>
      </c>
      <c r="F943" s="110">
        <v>8109</v>
      </c>
      <c r="G943" s="110">
        <v>8109</v>
      </c>
      <c r="I943" s="110">
        <v>7614</v>
      </c>
      <c r="J943" s="110">
        <v>7614</v>
      </c>
      <c r="K943" s="110">
        <v>7614</v>
      </c>
      <c r="L943" s="110">
        <v>7614</v>
      </c>
    </row>
    <row r="944" spans="1:12" x14ac:dyDescent="0.2">
      <c r="A944" t="s">
        <v>25</v>
      </c>
      <c r="B944" t="s">
        <v>106</v>
      </c>
      <c r="C944" t="s">
        <v>192</v>
      </c>
      <c r="D944" s="110">
        <v>21206.5</v>
      </c>
      <c r="E944" s="110">
        <v>21206.5</v>
      </c>
      <c r="F944" s="110">
        <v>21206.5</v>
      </c>
      <c r="I944" s="110">
        <v>21151.5</v>
      </c>
      <c r="J944" s="110">
        <v>21201.5</v>
      </c>
      <c r="K944" s="110">
        <v>21201.5</v>
      </c>
    </row>
    <row r="945" spans="1:12" x14ac:dyDescent="0.2">
      <c r="A945" t="s">
        <v>25</v>
      </c>
      <c r="B945" t="s">
        <v>106</v>
      </c>
      <c r="C945" t="s">
        <v>193</v>
      </c>
      <c r="D945" s="110">
        <v>56517.55</v>
      </c>
      <c r="E945" s="110">
        <v>56517.55</v>
      </c>
      <c r="I945" s="110">
        <v>56490.05</v>
      </c>
      <c r="J945" s="110">
        <v>56517.55</v>
      </c>
    </row>
    <row r="946" spans="1:12" x14ac:dyDescent="0.2">
      <c r="A946" t="s">
        <v>25</v>
      </c>
      <c r="B946" t="s">
        <v>106</v>
      </c>
      <c r="C946" t="s">
        <v>194</v>
      </c>
      <c r="D946" s="110">
        <v>150740</v>
      </c>
      <c r="I946" s="110">
        <v>150328</v>
      </c>
    </row>
    <row r="947" spans="1:12" x14ac:dyDescent="0.2">
      <c r="A947" t="s">
        <v>25</v>
      </c>
      <c r="B947" t="s">
        <v>107</v>
      </c>
      <c r="C947" t="s">
        <v>191</v>
      </c>
      <c r="D947" s="110">
        <v>23076.240000000002</v>
      </c>
      <c r="E947" s="110">
        <v>23076.240000000002</v>
      </c>
      <c r="F947" s="110">
        <v>23076.240000000002</v>
      </c>
      <c r="G947" s="110">
        <v>23076.240000000002</v>
      </c>
      <c r="I947" s="110">
        <v>21876.240000000002</v>
      </c>
      <c r="J947" s="110">
        <v>21876.240000000002</v>
      </c>
      <c r="K947" s="110">
        <v>21876.240000000002</v>
      </c>
      <c r="L947" s="110">
        <v>21876.240000000002</v>
      </c>
    </row>
    <row r="948" spans="1:12" x14ac:dyDescent="0.2">
      <c r="A948" t="s">
        <v>25</v>
      </c>
      <c r="B948" t="s">
        <v>107</v>
      </c>
      <c r="C948" t="s">
        <v>192</v>
      </c>
      <c r="D948" s="110">
        <v>21800.63</v>
      </c>
      <c r="E948" s="110">
        <v>21800.63</v>
      </c>
      <c r="F948" s="110">
        <v>21800.63</v>
      </c>
      <c r="I948" s="110">
        <v>21625.63</v>
      </c>
      <c r="J948" s="110">
        <v>21625.63</v>
      </c>
      <c r="K948" s="110">
        <v>21625.63</v>
      </c>
    </row>
    <row r="949" spans="1:12" x14ac:dyDescent="0.2">
      <c r="A949" t="s">
        <v>25</v>
      </c>
      <c r="B949" t="s">
        <v>107</v>
      </c>
      <c r="C949" t="s">
        <v>193</v>
      </c>
      <c r="D949" s="110">
        <v>15865.75</v>
      </c>
      <c r="E949" s="110">
        <v>16060.75</v>
      </c>
      <c r="I949" s="110">
        <v>15855.75</v>
      </c>
      <c r="J949" s="110">
        <v>16060.75</v>
      </c>
    </row>
    <row r="950" spans="1:12" x14ac:dyDescent="0.2">
      <c r="A950" t="s">
        <v>25</v>
      </c>
      <c r="B950" t="s">
        <v>107</v>
      </c>
      <c r="C950" t="s">
        <v>194</v>
      </c>
      <c r="D950" s="110">
        <v>18990</v>
      </c>
      <c r="I950" s="110">
        <v>18410</v>
      </c>
    </row>
    <row r="951" spans="1:12" x14ac:dyDescent="0.2">
      <c r="A951" t="s">
        <v>25</v>
      </c>
      <c r="B951" t="s">
        <v>108</v>
      </c>
      <c r="C951" t="s">
        <v>191</v>
      </c>
      <c r="D951" s="110">
        <v>4561.6000000000004</v>
      </c>
      <c r="E951" s="110">
        <v>4561.6000000000004</v>
      </c>
      <c r="F951" s="110">
        <v>4561.6000000000004</v>
      </c>
      <c r="G951" s="110">
        <v>4561.6000000000004</v>
      </c>
      <c r="I951" s="110">
        <v>4561.6000000000004</v>
      </c>
      <c r="J951" s="110">
        <v>4561.6000000000004</v>
      </c>
      <c r="K951" s="110">
        <v>4561.6000000000004</v>
      </c>
      <c r="L951" s="110">
        <v>4561.6000000000004</v>
      </c>
    </row>
    <row r="952" spans="1:12" x14ac:dyDescent="0.2">
      <c r="A952" t="s">
        <v>25</v>
      </c>
      <c r="B952" t="s">
        <v>108</v>
      </c>
      <c r="C952" t="s">
        <v>192</v>
      </c>
      <c r="D952" s="110">
        <v>7469.7</v>
      </c>
      <c r="E952" s="110">
        <v>7469.7</v>
      </c>
      <c r="F952" s="110">
        <v>7469.7</v>
      </c>
      <c r="I952" s="110">
        <v>7469.7</v>
      </c>
      <c r="J952" s="110">
        <v>7469.7</v>
      </c>
      <c r="K952" s="110">
        <v>7469.7</v>
      </c>
    </row>
    <row r="953" spans="1:12" x14ac:dyDescent="0.2">
      <c r="A953" t="s">
        <v>25</v>
      </c>
      <c r="B953" t="s">
        <v>108</v>
      </c>
      <c r="C953" t="s">
        <v>193</v>
      </c>
      <c r="D953" s="110">
        <v>5381</v>
      </c>
      <c r="E953" s="110">
        <v>5422</v>
      </c>
      <c r="I953" s="110">
        <v>5381</v>
      </c>
      <c r="J953" s="110">
        <v>5422</v>
      </c>
    </row>
    <row r="954" spans="1:12" x14ac:dyDescent="0.2">
      <c r="A954" t="s">
        <v>25</v>
      </c>
      <c r="B954" t="s">
        <v>108</v>
      </c>
      <c r="C954" t="s">
        <v>194</v>
      </c>
      <c r="D954" s="110">
        <v>5934.65</v>
      </c>
      <c r="I954" s="110">
        <v>5934.65</v>
      </c>
    </row>
    <row r="955" spans="1:12" x14ac:dyDescent="0.2">
      <c r="A955" t="s">
        <v>25</v>
      </c>
      <c r="B955" t="s">
        <v>70</v>
      </c>
      <c r="C955" t="s">
        <v>191</v>
      </c>
      <c r="D955" s="110">
        <v>9770.15</v>
      </c>
      <c r="E955" s="110">
        <v>9770.15</v>
      </c>
      <c r="F955" s="110">
        <v>8934.15</v>
      </c>
      <c r="G955" s="110">
        <v>8934.15</v>
      </c>
      <c r="I955" s="110">
        <v>8589.15</v>
      </c>
      <c r="J955" s="110">
        <v>8884.14</v>
      </c>
      <c r="K955" s="110">
        <v>8884.15</v>
      </c>
      <c r="L955" s="110">
        <v>8884.15</v>
      </c>
    </row>
    <row r="956" spans="1:12" x14ac:dyDescent="0.2">
      <c r="A956" t="s">
        <v>25</v>
      </c>
      <c r="B956" t="s">
        <v>70</v>
      </c>
      <c r="C956" t="s">
        <v>192</v>
      </c>
      <c r="D956" s="110">
        <v>9039</v>
      </c>
      <c r="E956" s="110">
        <v>9029</v>
      </c>
      <c r="F956" s="110">
        <v>9029</v>
      </c>
      <c r="I956" s="110">
        <v>8629</v>
      </c>
      <c r="J956" s="110">
        <v>8629</v>
      </c>
      <c r="K956" s="110">
        <v>8629</v>
      </c>
    </row>
    <row r="957" spans="1:12" x14ac:dyDescent="0.2">
      <c r="A957" t="s">
        <v>25</v>
      </c>
      <c r="B957" t="s">
        <v>70</v>
      </c>
      <c r="C957" t="s">
        <v>193</v>
      </c>
      <c r="D957" s="110">
        <v>11079.4</v>
      </c>
      <c r="E957" s="110">
        <v>11079.4</v>
      </c>
      <c r="I957" s="110">
        <v>10017.4</v>
      </c>
      <c r="J957" s="110">
        <v>10184.4</v>
      </c>
    </row>
    <row r="958" spans="1:12" x14ac:dyDescent="0.2">
      <c r="A958" t="s">
        <v>25</v>
      </c>
      <c r="B958" t="s">
        <v>70</v>
      </c>
      <c r="C958" t="s">
        <v>194</v>
      </c>
      <c r="D958" s="110">
        <v>11633.1</v>
      </c>
      <c r="I958" s="110">
        <v>10520.1</v>
      </c>
    </row>
    <row r="959" spans="1:12" x14ac:dyDescent="0.2">
      <c r="A959" t="s">
        <v>25</v>
      </c>
      <c r="B959" t="s">
        <v>110</v>
      </c>
      <c r="C959" t="s">
        <v>191</v>
      </c>
      <c r="D959" s="110">
        <v>160872.85</v>
      </c>
      <c r="E959" s="110">
        <v>155985.60000000001</v>
      </c>
      <c r="F959" s="110">
        <v>154264.6</v>
      </c>
      <c r="G959" s="110">
        <v>154055.6</v>
      </c>
      <c r="I959" s="110">
        <v>72019.850000000006</v>
      </c>
      <c r="J959" s="110">
        <v>128033.60000000001</v>
      </c>
      <c r="K959" s="110">
        <v>135883.6</v>
      </c>
      <c r="L959" s="110">
        <v>137267.6</v>
      </c>
    </row>
    <row r="960" spans="1:12" x14ac:dyDescent="0.2">
      <c r="A960" t="s">
        <v>25</v>
      </c>
      <c r="B960" t="s">
        <v>110</v>
      </c>
      <c r="C960" t="s">
        <v>192</v>
      </c>
      <c r="D960" s="110">
        <v>143701.9</v>
      </c>
      <c r="E960" s="110">
        <v>138877.79999999999</v>
      </c>
      <c r="F960" s="110">
        <v>138739.79999999999</v>
      </c>
      <c r="I960" s="110">
        <v>69252.899999999994</v>
      </c>
      <c r="J960" s="110">
        <v>118297.8</v>
      </c>
      <c r="K960" s="110">
        <v>126550.8</v>
      </c>
    </row>
    <row r="961" spans="1:12" x14ac:dyDescent="0.2">
      <c r="A961" t="s">
        <v>25</v>
      </c>
      <c r="B961" t="s">
        <v>110</v>
      </c>
      <c r="C961" t="s">
        <v>193</v>
      </c>
      <c r="D961" s="110">
        <v>157504.75</v>
      </c>
      <c r="E961" s="110">
        <v>155632.25</v>
      </c>
      <c r="I961" s="110">
        <v>67585.25</v>
      </c>
      <c r="J961" s="110">
        <v>128860.25</v>
      </c>
    </row>
    <row r="962" spans="1:12" x14ac:dyDescent="0.2">
      <c r="A962" t="s">
        <v>25</v>
      </c>
      <c r="B962" t="s">
        <v>110</v>
      </c>
      <c r="C962" t="s">
        <v>194</v>
      </c>
      <c r="D962" s="110">
        <v>154762.5</v>
      </c>
      <c r="I962" s="110">
        <v>66400.5</v>
      </c>
    </row>
    <row r="963" spans="1:12" x14ac:dyDescent="0.2">
      <c r="A963" t="s">
        <v>26</v>
      </c>
      <c r="B963" t="s">
        <v>104</v>
      </c>
      <c r="C963" t="s">
        <v>191</v>
      </c>
      <c r="D963" s="110">
        <v>141735.63</v>
      </c>
      <c r="E963" s="110">
        <v>141735.63</v>
      </c>
      <c r="F963" s="110">
        <v>141735.63</v>
      </c>
      <c r="G963" s="110">
        <v>141735.63</v>
      </c>
      <c r="I963" s="110">
        <v>5111.74</v>
      </c>
      <c r="J963" s="110">
        <v>21075.67</v>
      </c>
      <c r="K963" s="110">
        <v>29411.439999999999</v>
      </c>
      <c r="L963" s="110">
        <v>33223.78</v>
      </c>
    </row>
    <row r="964" spans="1:12" x14ac:dyDescent="0.2">
      <c r="A964" t="s">
        <v>26</v>
      </c>
      <c r="B964" t="s">
        <v>104</v>
      </c>
      <c r="C964" t="s">
        <v>192</v>
      </c>
      <c r="D964" s="110">
        <v>156866.66</v>
      </c>
      <c r="E964" s="110">
        <v>156866.66</v>
      </c>
      <c r="F964" s="110">
        <v>156866.66</v>
      </c>
      <c r="I964" s="110">
        <v>5740.13</v>
      </c>
      <c r="J964" s="110">
        <v>15939.89</v>
      </c>
      <c r="K964" s="110">
        <v>20053.12</v>
      </c>
    </row>
    <row r="965" spans="1:12" x14ac:dyDescent="0.2">
      <c r="A965" t="s">
        <v>26</v>
      </c>
      <c r="B965" t="s">
        <v>104</v>
      </c>
      <c r="C965" t="s">
        <v>193</v>
      </c>
      <c r="D965" s="110">
        <v>257733.98</v>
      </c>
      <c r="E965" s="110">
        <v>257733.98</v>
      </c>
      <c r="I965" s="110">
        <v>11372.5</v>
      </c>
      <c r="J965" s="110">
        <v>21299.040000000001</v>
      </c>
    </row>
    <row r="966" spans="1:12" x14ac:dyDescent="0.2">
      <c r="A966" t="s">
        <v>26</v>
      </c>
      <c r="B966" t="s">
        <v>104</v>
      </c>
      <c r="C966" t="s">
        <v>194</v>
      </c>
      <c r="D966" s="110">
        <v>150813.29999999999</v>
      </c>
      <c r="I966" s="110">
        <v>7428.85</v>
      </c>
    </row>
    <row r="967" spans="1:12" x14ac:dyDescent="0.2">
      <c r="A967" t="s">
        <v>26</v>
      </c>
      <c r="B967" t="s">
        <v>140</v>
      </c>
      <c r="C967" t="s">
        <v>191</v>
      </c>
      <c r="D967" s="110">
        <v>50</v>
      </c>
      <c r="E967" s="110">
        <v>50</v>
      </c>
      <c r="F967" s="110">
        <v>50</v>
      </c>
      <c r="G967" s="110">
        <v>50</v>
      </c>
    </row>
    <row r="968" spans="1:12" x14ac:dyDescent="0.2">
      <c r="A968" t="s">
        <v>26</v>
      </c>
      <c r="B968" t="s">
        <v>140</v>
      </c>
      <c r="C968" t="s">
        <v>192</v>
      </c>
      <c r="D968" s="110">
        <v>515</v>
      </c>
      <c r="E968" s="110">
        <v>515</v>
      </c>
      <c r="F968" s="110">
        <v>515</v>
      </c>
    </row>
    <row r="969" spans="1:12" x14ac:dyDescent="0.2">
      <c r="A969" t="s">
        <v>26</v>
      </c>
      <c r="B969" t="s">
        <v>140</v>
      </c>
      <c r="C969" t="s">
        <v>193</v>
      </c>
      <c r="D969" s="110">
        <v>101845</v>
      </c>
      <c r="E969" s="110">
        <v>101845</v>
      </c>
    </row>
    <row r="970" spans="1:12" x14ac:dyDescent="0.2">
      <c r="A970" t="s">
        <v>26</v>
      </c>
      <c r="B970" t="s">
        <v>140</v>
      </c>
      <c r="C970" t="s">
        <v>194</v>
      </c>
    </row>
    <row r="971" spans="1:12" x14ac:dyDescent="0.2">
      <c r="A971" t="s">
        <v>26</v>
      </c>
      <c r="B971" t="s">
        <v>105</v>
      </c>
      <c r="C971" t="s">
        <v>191</v>
      </c>
      <c r="D971" s="110">
        <v>70190.81</v>
      </c>
      <c r="E971" s="110">
        <v>68155.81</v>
      </c>
      <c r="F971" s="110">
        <v>65175.31</v>
      </c>
      <c r="G971" s="110">
        <v>63819.81</v>
      </c>
      <c r="I971" s="110">
        <v>11707.15</v>
      </c>
      <c r="J971" s="110">
        <v>18601.46</v>
      </c>
      <c r="K971" s="110">
        <v>22609.54</v>
      </c>
      <c r="L971" s="110">
        <v>25665.32</v>
      </c>
    </row>
    <row r="972" spans="1:12" x14ac:dyDescent="0.2">
      <c r="A972" t="s">
        <v>26</v>
      </c>
      <c r="B972" t="s">
        <v>105</v>
      </c>
      <c r="C972" t="s">
        <v>192</v>
      </c>
      <c r="D972" s="110">
        <v>66823.5</v>
      </c>
      <c r="E972" s="110">
        <v>66823.5</v>
      </c>
      <c r="F972" s="110">
        <v>63659.5</v>
      </c>
      <c r="I972" s="110">
        <v>16696.29</v>
      </c>
      <c r="J972" s="110">
        <v>23664.05</v>
      </c>
      <c r="K972" s="110">
        <v>26831.18</v>
      </c>
    </row>
    <row r="973" spans="1:12" x14ac:dyDescent="0.2">
      <c r="A973" t="s">
        <v>26</v>
      </c>
      <c r="B973" t="s">
        <v>105</v>
      </c>
      <c r="C973" t="s">
        <v>193</v>
      </c>
      <c r="D973" s="110">
        <v>77162.3</v>
      </c>
      <c r="E973" s="110">
        <v>76613.8</v>
      </c>
      <c r="I973" s="110">
        <v>28727.8</v>
      </c>
      <c r="J973" s="110">
        <v>37082.68</v>
      </c>
    </row>
    <row r="974" spans="1:12" x14ac:dyDescent="0.2">
      <c r="A974" t="s">
        <v>26</v>
      </c>
      <c r="B974" t="s">
        <v>105</v>
      </c>
      <c r="C974" t="s">
        <v>194</v>
      </c>
      <c r="D974" s="110">
        <v>61302.5</v>
      </c>
      <c r="I974" s="110">
        <v>12930.29</v>
      </c>
    </row>
    <row r="975" spans="1:12" x14ac:dyDescent="0.2">
      <c r="A975" t="s">
        <v>26</v>
      </c>
      <c r="B975" t="s">
        <v>111</v>
      </c>
      <c r="C975" t="s">
        <v>191</v>
      </c>
      <c r="D975" s="110">
        <v>303</v>
      </c>
      <c r="E975" s="110">
        <v>303</v>
      </c>
      <c r="F975" s="110">
        <v>303</v>
      </c>
      <c r="G975" s="110">
        <v>303</v>
      </c>
      <c r="I975" s="110">
        <v>3</v>
      </c>
      <c r="J975" s="110">
        <v>3</v>
      </c>
      <c r="K975" s="110">
        <v>3</v>
      </c>
      <c r="L975" s="110">
        <v>3</v>
      </c>
    </row>
    <row r="976" spans="1:12" x14ac:dyDescent="0.2">
      <c r="A976" t="s">
        <v>26</v>
      </c>
      <c r="B976" t="s">
        <v>111</v>
      </c>
      <c r="C976" t="s">
        <v>192</v>
      </c>
      <c r="D976" s="110">
        <v>356</v>
      </c>
      <c r="E976" s="110">
        <v>356</v>
      </c>
      <c r="F976" s="110">
        <v>356</v>
      </c>
      <c r="I976" s="110">
        <v>6</v>
      </c>
      <c r="J976" s="110">
        <v>6</v>
      </c>
      <c r="K976" s="110">
        <v>6</v>
      </c>
    </row>
    <row r="977" spans="1:12" x14ac:dyDescent="0.2">
      <c r="A977" t="s">
        <v>26</v>
      </c>
      <c r="B977" t="s">
        <v>111</v>
      </c>
      <c r="C977" t="s">
        <v>193</v>
      </c>
      <c r="D977" s="110">
        <v>900</v>
      </c>
      <c r="E977" s="110">
        <v>900</v>
      </c>
    </row>
    <row r="978" spans="1:12" x14ac:dyDescent="0.2">
      <c r="A978" t="s">
        <v>26</v>
      </c>
      <c r="B978" t="s">
        <v>111</v>
      </c>
      <c r="C978" t="s">
        <v>194</v>
      </c>
      <c r="D978" s="110">
        <v>306</v>
      </c>
      <c r="I978" s="110">
        <v>6</v>
      </c>
    </row>
    <row r="979" spans="1:12" x14ac:dyDescent="0.2">
      <c r="A979" t="s">
        <v>26</v>
      </c>
      <c r="B979" t="s">
        <v>109</v>
      </c>
      <c r="C979" t="s">
        <v>191</v>
      </c>
      <c r="D979" s="110">
        <v>119061.5</v>
      </c>
      <c r="E979" s="110">
        <v>119061.5</v>
      </c>
      <c r="F979" s="110">
        <v>117201.5</v>
      </c>
      <c r="G979" s="110">
        <v>115207.79</v>
      </c>
      <c r="I979" s="110">
        <v>28192.31</v>
      </c>
      <c r="J979" s="110">
        <v>49382.03</v>
      </c>
      <c r="K979" s="110">
        <v>59415.4</v>
      </c>
      <c r="L979" s="110">
        <v>65559.199999999997</v>
      </c>
    </row>
    <row r="980" spans="1:12" x14ac:dyDescent="0.2">
      <c r="A980" t="s">
        <v>26</v>
      </c>
      <c r="B980" t="s">
        <v>109</v>
      </c>
      <c r="C980" t="s">
        <v>192</v>
      </c>
      <c r="D980" s="110">
        <v>116462</v>
      </c>
      <c r="E980" s="110">
        <v>116462</v>
      </c>
      <c r="F980" s="110">
        <v>116462</v>
      </c>
      <c r="I980" s="110">
        <v>47979.95</v>
      </c>
      <c r="J980" s="110">
        <v>64583.360000000001</v>
      </c>
      <c r="K980" s="110">
        <v>73606.880000000005</v>
      </c>
    </row>
    <row r="981" spans="1:12" x14ac:dyDescent="0.2">
      <c r="A981" t="s">
        <v>26</v>
      </c>
      <c r="B981" t="s">
        <v>109</v>
      </c>
      <c r="C981" t="s">
        <v>193</v>
      </c>
      <c r="D981" s="110">
        <v>123603.33</v>
      </c>
      <c r="E981" s="110">
        <v>123010.33</v>
      </c>
      <c r="I981" s="110">
        <v>50729.47</v>
      </c>
      <c r="J981" s="110">
        <v>69877.09</v>
      </c>
    </row>
    <row r="982" spans="1:12" x14ac:dyDescent="0.2">
      <c r="A982" t="s">
        <v>26</v>
      </c>
      <c r="B982" t="s">
        <v>109</v>
      </c>
      <c r="C982" t="s">
        <v>194</v>
      </c>
      <c r="D982" s="110">
        <v>96272.5</v>
      </c>
      <c r="I982" s="110">
        <v>24948.68</v>
      </c>
    </row>
    <row r="983" spans="1:12" x14ac:dyDescent="0.2">
      <c r="A983" t="s">
        <v>26</v>
      </c>
      <c r="B983" t="s">
        <v>106</v>
      </c>
      <c r="C983" t="s">
        <v>191</v>
      </c>
      <c r="D983" s="110">
        <v>19247</v>
      </c>
      <c r="E983" s="110">
        <v>19247</v>
      </c>
      <c r="F983" s="110">
        <v>19247</v>
      </c>
      <c r="G983" s="110">
        <v>19247</v>
      </c>
      <c r="I983" s="110">
        <v>19247</v>
      </c>
      <c r="J983" s="110">
        <v>19247</v>
      </c>
      <c r="K983" s="110">
        <v>19247</v>
      </c>
      <c r="L983" s="110">
        <v>19247</v>
      </c>
    </row>
    <row r="984" spans="1:12" x14ac:dyDescent="0.2">
      <c r="A984" t="s">
        <v>26</v>
      </c>
      <c r="B984" t="s">
        <v>106</v>
      </c>
      <c r="C984" t="s">
        <v>192</v>
      </c>
      <c r="D984" s="110">
        <v>28699.5</v>
      </c>
      <c r="E984" s="110">
        <v>28699.5</v>
      </c>
      <c r="F984" s="110">
        <v>28699.5</v>
      </c>
      <c r="I984" s="110">
        <v>28699.5</v>
      </c>
      <c r="J984" s="110">
        <v>29139.5</v>
      </c>
      <c r="K984" s="110">
        <v>29139.5</v>
      </c>
    </row>
    <row r="985" spans="1:12" x14ac:dyDescent="0.2">
      <c r="A985" t="s">
        <v>26</v>
      </c>
      <c r="B985" t="s">
        <v>106</v>
      </c>
      <c r="C985" t="s">
        <v>193</v>
      </c>
      <c r="D985" s="110">
        <v>36718.5</v>
      </c>
      <c r="E985" s="110">
        <v>36718.5</v>
      </c>
      <c r="I985" s="110">
        <v>35355</v>
      </c>
      <c r="J985" s="110">
        <v>36718.5</v>
      </c>
    </row>
    <row r="986" spans="1:12" x14ac:dyDescent="0.2">
      <c r="A986" t="s">
        <v>26</v>
      </c>
      <c r="B986" t="s">
        <v>106</v>
      </c>
      <c r="C986" t="s">
        <v>194</v>
      </c>
      <c r="D986" s="110">
        <v>39583</v>
      </c>
      <c r="I986" s="110">
        <v>37307</v>
      </c>
    </row>
    <row r="987" spans="1:12" x14ac:dyDescent="0.2">
      <c r="A987" t="s">
        <v>26</v>
      </c>
      <c r="B987" t="s">
        <v>107</v>
      </c>
      <c r="C987" t="s">
        <v>191</v>
      </c>
      <c r="D987" s="110">
        <v>34455</v>
      </c>
      <c r="E987" s="110">
        <v>34455</v>
      </c>
      <c r="F987" s="110">
        <v>34455</v>
      </c>
      <c r="G987" s="110">
        <v>34455</v>
      </c>
      <c r="I987" s="110">
        <v>34370</v>
      </c>
      <c r="J987" s="110">
        <v>34475</v>
      </c>
      <c r="K987" s="110">
        <v>34475</v>
      </c>
      <c r="L987" s="110">
        <v>34475</v>
      </c>
    </row>
    <row r="988" spans="1:12" x14ac:dyDescent="0.2">
      <c r="A988" t="s">
        <v>26</v>
      </c>
      <c r="B988" t="s">
        <v>107</v>
      </c>
      <c r="C988" t="s">
        <v>192</v>
      </c>
      <c r="D988" s="110">
        <v>35134</v>
      </c>
      <c r="E988" s="110">
        <v>35134</v>
      </c>
      <c r="F988" s="110">
        <v>35134</v>
      </c>
      <c r="I988" s="110">
        <v>34174</v>
      </c>
      <c r="J988" s="110">
        <v>34949</v>
      </c>
      <c r="K988" s="110">
        <v>34949</v>
      </c>
    </row>
    <row r="989" spans="1:12" x14ac:dyDescent="0.2">
      <c r="A989" t="s">
        <v>26</v>
      </c>
      <c r="B989" t="s">
        <v>107</v>
      </c>
      <c r="C989" t="s">
        <v>193</v>
      </c>
      <c r="D989" s="110">
        <v>43479</v>
      </c>
      <c r="E989" s="110">
        <v>43479</v>
      </c>
      <c r="I989" s="110">
        <v>43089</v>
      </c>
      <c r="J989" s="110">
        <v>43284</v>
      </c>
    </row>
    <row r="990" spans="1:12" x14ac:dyDescent="0.2">
      <c r="A990" t="s">
        <v>26</v>
      </c>
      <c r="B990" t="s">
        <v>107</v>
      </c>
      <c r="C990" t="s">
        <v>194</v>
      </c>
      <c r="D990" s="110">
        <v>33454</v>
      </c>
      <c r="I990" s="110">
        <v>30679</v>
      </c>
    </row>
    <row r="991" spans="1:12" x14ac:dyDescent="0.2">
      <c r="A991" t="s">
        <v>26</v>
      </c>
      <c r="B991" t="s">
        <v>108</v>
      </c>
      <c r="C991" t="s">
        <v>191</v>
      </c>
      <c r="D991" s="110">
        <v>9895</v>
      </c>
      <c r="E991" s="110">
        <v>9895</v>
      </c>
      <c r="F991" s="110">
        <v>9895</v>
      </c>
      <c r="G991" s="110">
        <v>9895</v>
      </c>
      <c r="I991" s="110">
        <v>9010</v>
      </c>
      <c r="J991" s="110">
        <v>9095</v>
      </c>
      <c r="K991" s="110">
        <v>9095</v>
      </c>
      <c r="L991" s="110">
        <v>9095</v>
      </c>
    </row>
    <row r="992" spans="1:12" x14ac:dyDescent="0.2">
      <c r="A992" t="s">
        <v>26</v>
      </c>
      <c r="B992" t="s">
        <v>108</v>
      </c>
      <c r="C992" t="s">
        <v>192</v>
      </c>
      <c r="D992" s="110">
        <v>9085</v>
      </c>
      <c r="E992" s="110">
        <v>9085</v>
      </c>
      <c r="F992" s="110">
        <v>9085</v>
      </c>
      <c r="I992" s="110">
        <v>9085</v>
      </c>
      <c r="J992" s="110">
        <v>9085</v>
      </c>
      <c r="K992" s="110">
        <v>9085</v>
      </c>
    </row>
    <row r="993" spans="1:12" x14ac:dyDescent="0.2">
      <c r="A993" t="s">
        <v>26</v>
      </c>
      <c r="B993" t="s">
        <v>108</v>
      </c>
      <c r="C993" t="s">
        <v>193</v>
      </c>
      <c r="D993" s="110">
        <v>13504</v>
      </c>
      <c r="E993" s="110">
        <v>13504</v>
      </c>
      <c r="I993" s="110">
        <v>13504</v>
      </c>
      <c r="J993" s="110">
        <v>13504</v>
      </c>
    </row>
    <row r="994" spans="1:12" x14ac:dyDescent="0.2">
      <c r="A994" t="s">
        <v>26</v>
      </c>
      <c r="B994" t="s">
        <v>108</v>
      </c>
      <c r="C994" t="s">
        <v>194</v>
      </c>
      <c r="D994" s="110">
        <v>11390</v>
      </c>
      <c r="I994" s="110">
        <v>10590</v>
      </c>
    </row>
    <row r="995" spans="1:12" x14ac:dyDescent="0.2">
      <c r="A995" t="s">
        <v>26</v>
      </c>
      <c r="B995" t="s">
        <v>70</v>
      </c>
      <c r="C995" t="s">
        <v>191</v>
      </c>
      <c r="D995" s="110">
        <v>19820.75</v>
      </c>
      <c r="E995" s="110">
        <v>19820.75</v>
      </c>
      <c r="F995" s="110">
        <v>19520.75</v>
      </c>
      <c r="G995" s="110">
        <v>19520.75</v>
      </c>
      <c r="I995" s="110">
        <v>19516.75</v>
      </c>
      <c r="J995" s="110">
        <v>19516.75</v>
      </c>
      <c r="K995" s="110">
        <v>19516.75</v>
      </c>
      <c r="L995" s="110">
        <v>19516.75</v>
      </c>
    </row>
    <row r="996" spans="1:12" x14ac:dyDescent="0.2">
      <c r="A996" t="s">
        <v>26</v>
      </c>
      <c r="B996" t="s">
        <v>70</v>
      </c>
      <c r="C996" t="s">
        <v>192</v>
      </c>
      <c r="D996" s="110">
        <v>24389.1</v>
      </c>
      <c r="E996" s="110">
        <v>23981.1</v>
      </c>
      <c r="F996" s="110">
        <v>23981.1</v>
      </c>
      <c r="I996" s="110">
        <v>23105.1</v>
      </c>
      <c r="J996" s="110">
        <v>23513.1</v>
      </c>
      <c r="K996" s="110">
        <v>23513.1</v>
      </c>
    </row>
    <row r="997" spans="1:12" x14ac:dyDescent="0.2">
      <c r="A997" t="s">
        <v>26</v>
      </c>
      <c r="B997" t="s">
        <v>70</v>
      </c>
      <c r="C997" t="s">
        <v>193</v>
      </c>
      <c r="D997" s="110">
        <v>21522.799999999999</v>
      </c>
      <c r="E997" s="110">
        <v>21522.799999999999</v>
      </c>
      <c r="I997" s="110">
        <v>21522.799999999999</v>
      </c>
      <c r="J997" s="110">
        <v>21522.799999999999</v>
      </c>
    </row>
    <row r="998" spans="1:12" x14ac:dyDescent="0.2">
      <c r="A998" t="s">
        <v>26</v>
      </c>
      <c r="B998" t="s">
        <v>70</v>
      </c>
      <c r="C998" t="s">
        <v>194</v>
      </c>
      <c r="D998" s="110">
        <v>17706.25</v>
      </c>
      <c r="I998" s="110">
        <v>16122.25</v>
      </c>
    </row>
    <row r="999" spans="1:12" x14ac:dyDescent="0.2">
      <c r="A999" t="s">
        <v>26</v>
      </c>
      <c r="B999" t="s">
        <v>110</v>
      </c>
      <c r="C999" t="s">
        <v>191</v>
      </c>
      <c r="D999" s="110">
        <v>117240.9</v>
      </c>
      <c r="E999" s="110">
        <v>116249.15</v>
      </c>
      <c r="F999" s="110">
        <v>113721.15</v>
      </c>
      <c r="G999" s="110">
        <v>113272.15</v>
      </c>
      <c r="I999" s="110">
        <v>42270.400000000001</v>
      </c>
      <c r="J999" s="110">
        <v>83073.97</v>
      </c>
      <c r="K999" s="110">
        <v>95684.31</v>
      </c>
      <c r="L999" s="110">
        <v>97750.31</v>
      </c>
    </row>
    <row r="1000" spans="1:12" x14ac:dyDescent="0.2">
      <c r="A1000" t="s">
        <v>26</v>
      </c>
      <c r="B1000" t="s">
        <v>110</v>
      </c>
      <c r="C1000" t="s">
        <v>192</v>
      </c>
      <c r="D1000" s="110">
        <v>108053.5</v>
      </c>
      <c r="E1000" s="110">
        <v>108053.5</v>
      </c>
      <c r="F1000" s="110">
        <v>108053.5</v>
      </c>
      <c r="I1000" s="110">
        <v>41627.050000000003</v>
      </c>
      <c r="J1000" s="110">
        <v>75520.160000000003</v>
      </c>
      <c r="K1000" s="110">
        <v>91789.83</v>
      </c>
    </row>
    <row r="1001" spans="1:12" x14ac:dyDescent="0.2">
      <c r="A1001" t="s">
        <v>26</v>
      </c>
      <c r="B1001" t="s">
        <v>110</v>
      </c>
      <c r="C1001" t="s">
        <v>193</v>
      </c>
      <c r="D1001" s="110">
        <v>162938.5</v>
      </c>
      <c r="E1001" s="110">
        <v>162373.5</v>
      </c>
      <c r="I1001" s="110">
        <v>60011.8</v>
      </c>
      <c r="J1001" s="110">
        <v>106145.53</v>
      </c>
    </row>
    <row r="1002" spans="1:12" x14ac:dyDescent="0.2">
      <c r="A1002" t="s">
        <v>26</v>
      </c>
      <c r="B1002" t="s">
        <v>110</v>
      </c>
      <c r="C1002" t="s">
        <v>194</v>
      </c>
      <c r="D1002" s="110">
        <v>188956.25</v>
      </c>
      <c r="I1002" s="110">
        <v>50669.75</v>
      </c>
    </row>
    <row r="1003" spans="1:12" x14ac:dyDescent="0.2">
      <c r="A1003" t="s">
        <v>27</v>
      </c>
      <c r="B1003" t="s">
        <v>104</v>
      </c>
      <c r="C1003" t="s">
        <v>191</v>
      </c>
      <c r="D1003" s="110">
        <v>921721.1</v>
      </c>
      <c r="E1003" s="110">
        <v>913269.1</v>
      </c>
      <c r="F1003" s="110">
        <v>907444.95</v>
      </c>
      <c r="G1003" s="110">
        <v>902011.95</v>
      </c>
      <c r="I1003" s="110">
        <v>40341.86</v>
      </c>
      <c r="J1003" s="110">
        <v>56742.9</v>
      </c>
      <c r="K1003" s="110">
        <v>76372.289999999994</v>
      </c>
      <c r="L1003" s="110">
        <v>89267.07</v>
      </c>
    </row>
    <row r="1004" spans="1:12" x14ac:dyDescent="0.2">
      <c r="A1004" t="s">
        <v>27</v>
      </c>
      <c r="B1004" t="s">
        <v>104</v>
      </c>
      <c r="C1004" t="s">
        <v>192</v>
      </c>
      <c r="D1004" s="110">
        <v>1553916.42</v>
      </c>
      <c r="E1004" s="110">
        <v>1553874.92</v>
      </c>
      <c r="F1004" s="110">
        <v>1548563.92</v>
      </c>
      <c r="I1004" s="110">
        <v>35365.800000000003</v>
      </c>
      <c r="J1004" s="110">
        <v>61317.16</v>
      </c>
      <c r="K1004" s="110">
        <v>69254.52</v>
      </c>
    </row>
    <row r="1005" spans="1:12" x14ac:dyDescent="0.2">
      <c r="A1005" t="s">
        <v>27</v>
      </c>
      <c r="B1005" t="s">
        <v>104</v>
      </c>
      <c r="C1005" t="s">
        <v>193</v>
      </c>
      <c r="D1005" s="110">
        <v>1169736.68</v>
      </c>
      <c r="E1005" s="110">
        <v>1175041</v>
      </c>
      <c r="I1005" s="110">
        <v>42914.61</v>
      </c>
      <c r="J1005" s="110">
        <v>54544.71</v>
      </c>
    </row>
    <row r="1006" spans="1:12" x14ac:dyDescent="0.2">
      <c r="A1006" t="s">
        <v>27</v>
      </c>
      <c r="B1006" t="s">
        <v>104</v>
      </c>
      <c r="C1006" t="s">
        <v>194</v>
      </c>
      <c r="D1006" s="110">
        <v>1165369.78</v>
      </c>
      <c r="I1006" s="110">
        <v>33522.86</v>
      </c>
    </row>
    <row r="1007" spans="1:12" x14ac:dyDescent="0.2">
      <c r="A1007" t="s">
        <v>27</v>
      </c>
      <c r="B1007" t="s">
        <v>140</v>
      </c>
      <c r="C1007" t="s">
        <v>191</v>
      </c>
      <c r="D1007" s="110">
        <v>107748</v>
      </c>
      <c r="E1007" s="110">
        <v>107748</v>
      </c>
      <c r="F1007" s="110">
        <v>107798</v>
      </c>
      <c r="G1007" s="110">
        <v>107798</v>
      </c>
      <c r="I1007" s="110">
        <v>210</v>
      </c>
      <c r="J1007" s="110">
        <v>249</v>
      </c>
      <c r="K1007" s="110">
        <v>249</v>
      </c>
      <c r="L1007" s="110">
        <v>249</v>
      </c>
    </row>
    <row r="1008" spans="1:12" x14ac:dyDescent="0.2">
      <c r="A1008" t="s">
        <v>27</v>
      </c>
      <c r="B1008" t="s">
        <v>140</v>
      </c>
      <c r="C1008" t="s">
        <v>192</v>
      </c>
      <c r="D1008" s="110">
        <v>690873</v>
      </c>
      <c r="E1008" s="110">
        <v>690873</v>
      </c>
      <c r="F1008" s="110">
        <v>690643</v>
      </c>
      <c r="I1008" s="110">
        <v>139</v>
      </c>
      <c r="J1008" s="110">
        <v>146</v>
      </c>
      <c r="K1008" s="110">
        <v>160</v>
      </c>
    </row>
    <row r="1009" spans="1:12" x14ac:dyDescent="0.2">
      <c r="A1009" t="s">
        <v>27</v>
      </c>
      <c r="B1009" t="s">
        <v>140</v>
      </c>
      <c r="C1009" t="s">
        <v>193</v>
      </c>
      <c r="D1009" s="110">
        <v>439531.5</v>
      </c>
      <c r="E1009" s="110">
        <v>439531.5</v>
      </c>
      <c r="I1009" s="110">
        <v>107</v>
      </c>
      <c r="J1009" s="110">
        <v>621</v>
      </c>
    </row>
    <row r="1010" spans="1:12" x14ac:dyDescent="0.2">
      <c r="A1010" t="s">
        <v>27</v>
      </c>
      <c r="B1010" t="s">
        <v>140</v>
      </c>
      <c r="C1010" t="s">
        <v>194</v>
      </c>
      <c r="D1010" s="110">
        <v>432232.9</v>
      </c>
      <c r="I1010" s="110">
        <v>146</v>
      </c>
    </row>
    <row r="1011" spans="1:12" x14ac:dyDescent="0.2">
      <c r="A1011" t="s">
        <v>27</v>
      </c>
      <c r="B1011" t="s">
        <v>105</v>
      </c>
      <c r="C1011" t="s">
        <v>191</v>
      </c>
      <c r="D1011" s="110">
        <v>337300.14</v>
      </c>
      <c r="E1011" s="110">
        <v>335506.28999999998</v>
      </c>
      <c r="F1011" s="110">
        <v>331446.28999999998</v>
      </c>
      <c r="G1011" s="110">
        <v>330432.28999999998</v>
      </c>
      <c r="I1011" s="110">
        <v>77927.73</v>
      </c>
      <c r="J1011" s="110">
        <v>123604.36</v>
      </c>
      <c r="K1011" s="110">
        <v>150969.22</v>
      </c>
      <c r="L1011" s="110">
        <v>166855.34</v>
      </c>
    </row>
    <row r="1012" spans="1:12" x14ac:dyDescent="0.2">
      <c r="A1012" t="s">
        <v>27</v>
      </c>
      <c r="B1012" t="s">
        <v>105</v>
      </c>
      <c r="C1012" t="s">
        <v>192</v>
      </c>
      <c r="D1012" s="110">
        <v>346537.47</v>
      </c>
      <c r="E1012" s="110">
        <v>345166.57</v>
      </c>
      <c r="F1012" s="110">
        <v>343604.78</v>
      </c>
      <c r="I1012" s="110">
        <v>95303.86</v>
      </c>
      <c r="J1012" s="110">
        <v>130883.36</v>
      </c>
      <c r="K1012" s="110">
        <v>156908.4</v>
      </c>
    </row>
    <row r="1013" spans="1:12" x14ac:dyDescent="0.2">
      <c r="A1013" t="s">
        <v>27</v>
      </c>
      <c r="B1013" t="s">
        <v>105</v>
      </c>
      <c r="C1013" t="s">
        <v>193</v>
      </c>
      <c r="D1013" s="110">
        <v>301187.92</v>
      </c>
      <c r="E1013" s="110">
        <v>298997.67</v>
      </c>
      <c r="I1013" s="110">
        <v>89130.19</v>
      </c>
      <c r="J1013" s="110">
        <v>125558.62</v>
      </c>
    </row>
    <row r="1014" spans="1:12" x14ac:dyDescent="0.2">
      <c r="A1014" t="s">
        <v>27</v>
      </c>
      <c r="B1014" t="s">
        <v>105</v>
      </c>
      <c r="C1014" t="s">
        <v>194</v>
      </c>
      <c r="D1014" s="110">
        <v>301959.82</v>
      </c>
      <c r="I1014" s="110">
        <v>85737.33</v>
      </c>
    </row>
    <row r="1015" spans="1:12" x14ac:dyDescent="0.2">
      <c r="A1015" t="s">
        <v>27</v>
      </c>
      <c r="B1015" t="s">
        <v>111</v>
      </c>
      <c r="C1015" t="s">
        <v>191</v>
      </c>
      <c r="D1015" s="110">
        <v>11703.8</v>
      </c>
      <c r="E1015" s="110">
        <v>11703.8</v>
      </c>
      <c r="F1015" s="110">
        <v>11703.8</v>
      </c>
      <c r="G1015" s="110">
        <v>11703.8</v>
      </c>
      <c r="I1015" s="110">
        <v>721</v>
      </c>
      <c r="J1015" s="110">
        <v>796</v>
      </c>
      <c r="K1015" s="110">
        <v>796</v>
      </c>
      <c r="L1015" s="110">
        <v>796</v>
      </c>
    </row>
    <row r="1016" spans="1:12" x14ac:dyDescent="0.2">
      <c r="A1016" t="s">
        <v>27</v>
      </c>
      <c r="B1016" t="s">
        <v>111</v>
      </c>
      <c r="C1016" t="s">
        <v>192</v>
      </c>
      <c r="D1016" s="110">
        <v>9842</v>
      </c>
      <c r="E1016" s="110">
        <v>9842</v>
      </c>
      <c r="F1016" s="110">
        <v>9842</v>
      </c>
      <c r="I1016" s="110">
        <v>1164</v>
      </c>
      <c r="J1016" s="110">
        <v>1764</v>
      </c>
      <c r="K1016" s="110">
        <v>1864</v>
      </c>
    </row>
    <row r="1017" spans="1:12" x14ac:dyDescent="0.2">
      <c r="A1017" t="s">
        <v>27</v>
      </c>
      <c r="B1017" t="s">
        <v>111</v>
      </c>
      <c r="C1017" t="s">
        <v>193</v>
      </c>
      <c r="D1017" s="110">
        <v>21569.45</v>
      </c>
      <c r="E1017" s="110">
        <v>21070.95</v>
      </c>
      <c r="I1017" s="110">
        <v>2039.85</v>
      </c>
      <c r="J1017" s="110">
        <v>2565.6999999999998</v>
      </c>
    </row>
    <row r="1018" spans="1:12" x14ac:dyDescent="0.2">
      <c r="A1018" t="s">
        <v>27</v>
      </c>
      <c r="B1018" t="s">
        <v>111</v>
      </c>
      <c r="C1018" t="s">
        <v>194</v>
      </c>
      <c r="D1018" s="110">
        <v>10970</v>
      </c>
      <c r="I1018" s="110">
        <v>419.5</v>
      </c>
    </row>
    <row r="1019" spans="1:12" x14ac:dyDescent="0.2">
      <c r="A1019" t="s">
        <v>27</v>
      </c>
      <c r="B1019" t="s">
        <v>109</v>
      </c>
      <c r="C1019" t="s">
        <v>191</v>
      </c>
      <c r="D1019" s="110">
        <v>247677.49</v>
      </c>
      <c r="E1019" s="110">
        <v>247645.49</v>
      </c>
      <c r="F1019" s="110">
        <v>247158.49</v>
      </c>
      <c r="G1019" s="110">
        <v>247158.49</v>
      </c>
      <c r="I1019" s="110">
        <v>73460.649999999994</v>
      </c>
      <c r="J1019" s="110">
        <v>116151.93</v>
      </c>
      <c r="K1019" s="110">
        <v>138222.62</v>
      </c>
      <c r="L1019" s="110">
        <v>148807</v>
      </c>
    </row>
    <row r="1020" spans="1:12" x14ac:dyDescent="0.2">
      <c r="A1020" t="s">
        <v>27</v>
      </c>
      <c r="B1020" t="s">
        <v>109</v>
      </c>
      <c r="C1020" t="s">
        <v>192</v>
      </c>
      <c r="D1020" s="110">
        <v>221125.2</v>
      </c>
      <c r="E1020" s="110">
        <v>220517.19</v>
      </c>
      <c r="F1020" s="110">
        <v>220212.19</v>
      </c>
      <c r="I1020" s="110">
        <v>77308.990000000005</v>
      </c>
      <c r="J1020" s="110">
        <v>114468.61</v>
      </c>
      <c r="K1020" s="110">
        <v>130450.6</v>
      </c>
    </row>
    <row r="1021" spans="1:12" x14ac:dyDescent="0.2">
      <c r="A1021" t="s">
        <v>27</v>
      </c>
      <c r="B1021" t="s">
        <v>109</v>
      </c>
      <c r="C1021" t="s">
        <v>193</v>
      </c>
      <c r="D1021" s="110">
        <v>211320.76</v>
      </c>
      <c r="E1021" s="110">
        <v>210739.76</v>
      </c>
      <c r="I1021" s="110">
        <v>83927.92</v>
      </c>
      <c r="J1021" s="110">
        <v>113574.61</v>
      </c>
    </row>
    <row r="1022" spans="1:12" x14ac:dyDescent="0.2">
      <c r="A1022" t="s">
        <v>27</v>
      </c>
      <c r="B1022" t="s">
        <v>109</v>
      </c>
      <c r="C1022" t="s">
        <v>194</v>
      </c>
      <c r="D1022" s="110">
        <v>201076.28</v>
      </c>
      <c r="I1022" s="110">
        <v>58582.47</v>
      </c>
    </row>
    <row r="1023" spans="1:12" x14ac:dyDescent="0.2">
      <c r="A1023" t="s">
        <v>27</v>
      </c>
      <c r="B1023" t="s">
        <v>106</v>
      </c>
      <c r="C1023" t="s">
        <v>191</v>
      </c>
      <c r="D1023" s="110">
        <v>165454.93</v>
      </c>
      <c r="E1023" s="110">
        <v>165404.93</v>
      </c>
      <c r="F1023" s="110">
        <v>165404.93</v>
      </c>
      <c r="G1023" s="110">
        <v>165408.93</v>
      </c>
      <c r="I1023" s="110">
        <v>159074.93</v>
      </c>
      <c r="J1023" s="110">
        <v>163889.93</v>
      </c>
      <c r="K1023" s="110">
        <v>163889.93</v>
      </c>
      <c r="L1023" s="110">
        <v>163893.93</v>
      </c>
    </row>
    <row r="1024" spans="1:12" x14ac:dyDescent="0.2">
      <c r="A1024" t="s">
        <v>27</v>
      </c>
      <c r="B1024" t="s">
        <v>106</v>
      </c>
      <c r="C1024" t="s">
        <v>192</v>
      </c>
      <c r="D1024" s="110">
        <v>207677.1</v>
      </c>
      <c r="E1024" s="110">
        <v>207677.1</v>
      </c>
      <c r="F1024" s="110">
        <v>207677.1</v>
      </c>
      <c r="I1024" s="110">
        <v>201489.1</v>
      </c>
      <c r="J1024" s="110">
        <v>206988.6</v>
      </c>
      <c r="K1024" s="110">
        <v>206988.6</v>
      </c>
    </row>
    <row r="1025" spans="1:12" x14ac:dyDescent="0.2">
      <c r="A1025" t="s">
        <v>27</v>
      </c>
      <c r="B1025" t="s">
        <v>106</v>
      </c>
      <c r="C1025" t="s">
        <v>193</v>
      </c>
      <c r="D1025" s="110">
        <v>337155.3</v>
      </c>
      <c r="E1025" s="110">
        <v>335777.8</v>
      </c>
      <c r="I1025" s="110">
        <v>329523.8</v>
      </c>
      <c r="J1025" s="110">
        <v>333498.3</v>
      </c>
    </row>
    <row r="1026" spans="1:12" x14ac:dyDescent="0.2">
      <c r="A1026" t="s">
        <v>27</v>
      </c>
      <c r="B1026" t="s">
        <v>106</v>
      </c>
      <c r="C1026" t="s">
        <v>194</v>
      </c>
      <c r="D1026" s="110">
        <v>301263.01</v>
      </c>
      <c r="I1026" s="110">
        <v>296708.01</v>
      </c>
    </row>
    <row r="1027" spans="1:12" x14ac:dyDescent="0.2">
      <c r="A1027" t="s">
        <v>27</v>
      </c>
      <c r="B1027" t="s">
        <v>107</v>
      </c>
      <c r="C1027" t="s">
        <v>191</v>
      </c>
      <c r="D1027" s="110">
        <v>213048.4</v>
      </c>
      <c r="E1027" s="110">
        <v>212873.4</v>
      </c>
      <c r="F1027" s="110">
        <v>212443.4</v>
      </c>
      <c r="G1027" s="110">
        <v>212443.4</v>
      </c>
      <c r="I1027" s="110">
        <v>206938.4</v>
      </c>
      <c r="J1027" s="110">
        <v>211618.4</v>
      </c>
      <c r="K1027" s="110">
        <v>211618.4</v>
      </c>
      <c r="L1027" s="110">
        <v>211618.4</v>
      </c>
    </row>
    <row r="1028" spans="1:12" x14ac:dyDescent="0.2">
      <c r="A1028" t="s">
        <v>27</v>
      </c>
      <c r="B1028" t="s">
        <v>107</v>
      </c>
      <c r="C1028" t="s">
        <v>192</v>
      </c>
      <c r="D1028" s="110">
        <v>231130.67</v>
      </c>
      <c r="E1028" s="110">
        <v>230628.67</v>
      </c>
      <c r="F1028" s="110">
        <v>230628.67</v>
      </c>
      <c r="I1028" s="110">
        <v>222563.67</v>
      </c>
      <c r="J1028" s="110">
        <v>230518.67</v>
      </c>
      <c r="K1028" s="110">
        <v>230518.67</v>
      </c>
    </row>
    <row r="1029" spans="1:12" x14ac:dyDescent="0.2">
      <c r="A1029" t="s">
        <v>27</v>
      </c>
      <c r="B1029" t="s">
        <v>107</v>
      </c>
      <c r="C1029" t="s">
        <v>193</v>
      </c>
      <c r="D1029" s="110">
        <v>289942.34999999998</v>
      </c>
      <c r="E1029" s="110">
        <v>289547.34999999998</v>
      </c>
      <c r="I1029" s="110">
        <v>284248.84999999998</v>
      </c>
      <c r="J1029" s="110">
        <v>285833.84999999998</v>
      </c>
    </row>
    <row r="1030" spans="1:12" x14ac:dyDescent="0.2">
      <c r="A1030" t="s">
        <v>27</v>
      </c>
      <c r="B1030" t="s">
        <v>107</v>
      </c>
      <c r="C1030" t="s">
        <v>194</v>
      </c>
      <c r="D1030" s="110">
        <v>281044.65000000002</v>
      </c>
      <c r="I1030" s="110">
        <v>278730.65000000002</v>
      </c>
    </row>
    <row r="1031" spans="1:12" x14ac:dyDescent="0.2">
      <c r="A1031" t="s">
        <v>27</v>
      </c>
      <c r="B1031" t="s">
        <v>108</v>
      </c>
      <c r="C1031" t="s">
        <v>191</v>
      </c>
      <c r="D1031" s="110">
        <v>97473.86</v>
      </c>
      <c r="E1031" s="110">
        <v>97160.86</v>
      </c>
      <c r="F1031" s="110">
        <v>96129.86</v>
      </c>
      <c r="G1031" s="110">
        <v>96129.86</v>
      </c>
      <c r="I1031" s="110">
        <v>88003.86</v>
      </c>
      <c r="J1031" s="110">
        <v>89103.86</v>
      </c>
      <c r="K1031" s="110">
        <v>93923.86</v>
      </c>
      <c r="L1031" s="110">
        <v>93923.86</v>
      </c>
    </row>
    <row r="1032" spans="1:12" x14ac:dyDescent="0.2">
      <c r="A1032" t="s">
        <v>27</v>
      </c>
      <c r="B1032" t="s">
        <v>108</v>
      </c>
      <c r="C1032" t="s">
        <v>192</v>
      </c>
      <c r="D1032" s="110">
        <v>103089.24</v>
      </c>
      <c r="E1032" s="110">
        <v>103068.24</v>
      </c>
      <c r="F1032" s="110">
        <v>103071.24</v>
      </c>
      <c r="I1032" s="110">
        <v>97258.75</v>
      </c>
      <c r="J1032" s="110">
        <v>102206.75</v>
      </c>
      <c r="K1032" s="110">
        <v>102712.75</v>
      </c>
    </row>
    <row r="1033" spans="1:12" x14ac:dyDescent="0.2">
      <c r="A1033" t="s">
        <v>27</v>
      </c>
      <c r="B1033" t="s">
        <v>108</v>
      </c>
      <c r="C1033" t="s">
        <v>193</v>
      </c>
      <c r="D1033" s="110">
        <v>103519.66</v>
      </c>
      <c r="E1033" s="110">
        <v>103517.66</v>
      </c>
      <c r="I1033" s="110">
        <v>98390.66</v>
      </c>
      <c r="J1033" s="110">
        <v>100146.66</v>
      </c>
    </row>
    <row r="1034" spans="1:12" x14ac:dyDescent="0.2">
      <c r="A1034" t="s">
        <v>27</v>
      </c>
      <c r="B1034" t="s">
        <v>108</v>
      </c>
      <c r="C1034" t="s">
        <v>194</v>
      </c>
      <c r="D1034" s="110">
        <v>94640.89</v>
      </c>
      <c r="I1034" s="110">
        <v>91803.39</v>
      </c>
    </row>
    <row r="1035" spans="1:12" x14ac:dyDescent="0.2">
      <c r="A1035" t="s">
        <v>27</v>
      </c>
      <c r="B1035" t="s">
        <v>70</v>
      </c>
      <c r="C1035" t="s">
        <v>191</v>
      </c>
      <c r="D1035" s="110">
        <v>96084.35</v>
      </c>
      <c r="E1035" s="110">
        <v>94268.35</v>
      </c>
      <c r="F1035" s="110">
        <v>93044.35</v>
      </c>
      <c r="G1035" s="110">
        <v>92725.3</v>
      </c>
      <c r="I1035" s="110">
        <v>85807.3</v>
      </c>
      <c r="J1035" s="110">
        <v>86392.3</v>
      </c>
      <c r="K1035" s="110">
        <v>86492.3</v>
      </c>
      <c r="L1035" s="110">
        <v>87382.3</v>
      </c>
    </row>
    <row r="1036" spans="1:12" x14ac:dyDescent="0.2">
      <c r="A1036" t="s">
        <v>27</v>
      </c>
      <c r="B1036" t="s">
        <v>70</v>
      </c>
      <c r="C1036" t="s">
        <v>192</v>
      </c>
      <c r="D1036" s="110">
        <v>106605.74</v>
      </c>
      <c r="E1036" s="110">
        <v>103410.74</v>
      </c>
      <c r="F1036" s="110">
        <v>100136.74</v>
      </c>
      <c r="I1036" s="110">
        <v>93388.24</v>
      </c>
      <c r="J1036" s="110">
        <v>95069.74</v>
      </c>
      <c r="K1036" s="110">
        <v>95086.74</v>
      </c>
    </row>
    <row r="1037" spans="1:12" x14ac:dyDescent="0.2">
      <c r="A1037" t="s">
        <v>27</v>
      </c>
      <c r="B1037" t="s">
        <v>70</v>
      </c>
      <c r="C1037" t="s">
        <v>193</v>
      </c>
      <c r="D1037" s="110">
        <v>85381</v>
      </c>
      <c r="E1037" s="110">
        <v>82967</v>
      </c>
      <c r="I1037" s="110">
        <v>75738</v>
      </c>
      <c r="J1037" s="110">
        <v>78132</v>
      </c>
    </row>
    <row r="1038" spans="1:12" x14ac:dyDescent="0.2">
      <c r="A1038" t="s">
        <v>27</v>
      </c>
      <c r="B1038" t="s">
        <v>70</v>
      </c>
      <c r="C1038" t="s">
        <v>194</v>
      </c>
      <c r="D1038" s="110">
        <v>94743.95</v>
      </c>
      <c r="I1038" s="110">
        <v>80015.95</v>
      </c>
    </row>
    <row r="1039" spans="1:12" x14ac:dyDescent="0.2">
      <c r="A1039" t="s">
        <v>27</v>
      </c>
      <c r="B1039" t="s">
        <v>110</v>
      </c>
      <c r="C1039" t="s">
        <v>191</v>
      </c>
      <c r="D1039" s="110">
        <v>677905.47</v>
      </c>
      <c r="E1039" s="110">
        <v>639916.81999999995</v>
      </c>
      <c r="F1039" s="110">
        <v>632935.22</v>
      </c>
      <c r="G1039" s="110">
        <v>630943.72</v>
      </c>
      <c r="I1039" s="110">
        <v>317484.57</v>
      </c>
      <c r="J1039" s="110">
        <v>521782.32</v>
      </c>
      <c r="K1039" s="110">
        <v>560780.72</v>
      </c>
      <c r="L1039" s="110">
        <v>573631.72</v>
      </c>
    </row>
    <row r="1040" spans="1:12" x14ac:dyDescent="0.2">
      <c r="A1040" t="s">
        <v>27</v>
      </c>
      <c r="B1040" t="s">
        <v>110</v>
      </c>
      <c r="C1040" t="s">
        <v>192</v>
      </c>
      <c r="D1040" s="110">
        <v>699835.15</v>
      </c>
      <c r="E1040" s="110">
        <v>659252.80000000005</v>
      </c>
      <c r="F1040" s="110">
        <v>656777.69999999995</v>
      </c>
      <c r="I1040" s="110">
        <v>364538.67</v>
      </c>
      <c r="J1040" s="110">
        <v>545966.43000000005</v>
      </c>
      <c r="K1040" s="110">
        <v>579885.09</v>
      </c>
    </row>
    <row r="1041" spans="1:12" x14ac:dyDescent="0.2">
      <c r="A1041" t="s">
        <v>27</v>
      </c>
      <c r="B1041" t="s">
        <v>110</v>
      </c>
      <c r="C1041" t="s">
        <v>193</v>
      </c>
      <c r="D1041" s="110">
        <v>643043.26</v>
      </c>
      <c r="E1041" s="110">
        <v>616785.66</v>
      </c>
      <c r="I1041" s="110">
        <v>312997.90999999997</v>
      </c>
      <c r="J1041" s="110">
        <v>496814.81</v>
      </c>
    </row>
    <row r="1042" spans="1:12" x14ac:dyDescent="0.2">
      <c r="A1042" t="s">
        <v>27</v>
      </c>
      <c r="B1042" t="s">
        <v>110</v>
      </c>
      <c r="C1042" t="s">
        <v>194</v>
      </c>
      <c r="D1042" s="110">
        <v>686942.75</v>
      </c>
      <c r="I1042" s="110">
        <v>331051.51</v>
      </c>
    </row>
    <row r="1043" spans="1:12" x14ac:dyDescent="0.2">
      <c r="A1043" t="s">
        <v>28</v>
      </c>
      <c r="B1043" t="s">
        <v>104</v>
      </c>
      <c r="C1043" t="s">
        <v>191</v>
      </c>
      <c r="D1043" s="110">
        <v>524335.75</v>
      </c>
      <c r="E1043" s="110">
        <v>522695.75</v>
      </c>
      <c r="F1043" s="110">
        <v>522545.75</v>
      </c>
      <c r="G1043" s="110">
        <v>523983.75</v>
      </c>
      <c r="I1043" s="110">
        <v>5953.75</v>
      </c>
      <c r="J1043" s="110">
        <v>11531.22</v>
      </c>
      <c r="K1043" s="110">
        <v>17254.150000000001</v>
      </c>
      <c r="L1043" s="110">
        <v>24096.25</v>
      </c>
    </row>
    <row r="1044" spans="1:12" x14ac:dyDescent="0.2">
      <c r="A1044" t="s">
        <v>28</v>
      </c>
      <c r="B1044" t="s">
        <v>104</v>
      </c>
      <c r="C1044" t="s">
        <v>192</v>
      </c>
      <c r="D1044" s="110">
        <v>636592.51</v>
      </c>
      <c r="E1044" s="110">
        <v>638440.51</v>
      </c>
      <c r="F1044" s="110">
        <v>638490.51</v>
      </c>
      <c r="I1044" s="110">
        <v>6681.34</v>
      </c>
      <c r="J1044" s="110">
        <v>12924.67</v>
      </c>
      <c r="K1044" s="110">
        <v>19947.11</v>
      </c>
    </row>
    <row r="1045" spans="1:12" x14ac:dyDescent="0.2">
      <c r="A1045" t="s">
        <v>28</v>
      </c>
      <c r="B1045" t="s">
        <v>104</v>
      </c>
      <c r="C1045" t="s">
        <v>193</v>
      </c>
      <c r="D1045" s="110">
        <v>569559.31000000006</v>
      </c>
      <c r="E1045" s="110">
        <v>570902.31000000006</v>
      </c>
      <c r="I1045" s="110">
        <v>8301.66</v>
      </c>
      <c r="J1045" s="110">
        <v>15171.41</v>
      </c>
    </row>
    <row r="1046" spans="1:12" x14ac:dyDescent="0.2">
      <c r="A1046" t="s">
        <v>28</v>
      </c>
      <c r="B1046" t="s">
        <v>104</v>
      </c>
      <c r="C1046" t="s">
        <v>194</v>
      </c>
      <c r="D1046" s="110">
        <v>484497.04</v>
      </c>
      <c r="I1046" s="110">
        <v>3038.44</v>
      </c>
    </row>
    <row r="1047" spans="1:12" x14ac:dyDescent="0.2">
      <c r="A1047" t="s">
        <v>28</v>
      </c>
      <c r="B1047" t="s">
        <v>140</v>
      </c>
      <c r="C1047" t="s">
        <v>191</v>
      </c>
      <c r="D1047" s="110">
        <v>186552</v>
      </c>
      <c r="E1047" s="110">
        <v>186552</v>
      </c>
      <c r="F1047" s="110">
        <v>186602</v>
      </c>
      <c r="G1047" s="110">
        <v>186602</v>
      </c>
    </row>
    <row r="1048" spans="1:12" x14ac:dyDescent="0.2">
      <c r="A1048" t="s">
        <v>28</v>
      </c>
      <c r="B1048" t="s">
        <v>140</v>
      </c>
      <c r="C1048" t="s">
        <v>192</v>
      </c>
      <c r="D1048" s="110">
        <v>317996</v>
      </c>
      <c r="E1048" s="110">
        <v>317996</v>
      </c>
      <c r="F1048" s="110">
        <v>317996</v>
      </c>
      <c r="I1048" s="110">
        <v>50</v>
      </c>
      <c r="J1048" s="110">
        <v>50</v>
      </c>
      <c r="K1048" s="110">
        <v>50</v>
      </c>
    </row>
    <row r="1049" spans="1:12" x14ac:dyDescent="0.2">
      <c r="A1049" t="s">
        <v>28</v>
      </c>
      <c r="B1049" t="s">
        <v>140</v>
      </c>
      <c r="C1049" t="s">
        <v>193</v>
      </c>
      <c r="D1049" s="110">
        <v>161237</v>
      </c>
      <c r="E1049" s="110">
        <v>161237</v>
      </c>
    </row>
    <row r="1050" spans="1:12" x14ac:dyDescent="0.2">
      <c r="A1050" t="s">
        <v>28</v>
      </c>
      <c r="B1050" t="s">
        <v>140</v>
      </c>
      <c r="C1050" t="s">
        <v>194</v>
      </c>
      <c r="D1050" s="110">
        <v>158588</v>
      </c>
    </row>
    <row r="1051" spans="1:12" x14ac:dyDescent="0.2">
      <c r="A1051" t="s">
        <v>28</v>
      </c>
      <c r="B1051" t="s">
        <v>105</v>
      </c>
      <c r="C1051" t="s">
        <v>191</v>
      </c>
      <c r="D1051" s="110">
        <v>91528.05</v>
      </c>
      <c r="E1051" s="110">
        <v>91528.05</v>
      </c>
      <c r="F1051" s="110">
        <v>91528.05</v>
      </c>
      <c r="G1051" s="110">
        <v>91528.05</v>
      </c>
      <c r="I1051" s="110">
        <v>7987.75</v>
      </c>
      <c r="J1051" s="110">
        <v>12105.39</v>
      </c>
      <c r="K1051" s="110">
        <v>16997.64</v>
      </c>
      <c r="L1051" s="110">
        <v>18970.39</v>
      </c>
    </row>
    <row r="1052" spans="1:12" x14ac:dyDescent="0.2">
      <c r="A1052" t="s">
        <v>28</v>
      </c>
      <c r="B1052" t="s">
        <v>105</v>
      </c>
      <c r="C1052" t="s">
        <v>192</v>
      </c>
      <c r="D1052" s="110">
        <v>111988.75</v>
      </c>
      <c r="E1052" s="110">
        <v>112288.25</v>
      </c>
      <c r="F1052" s="110">
        <v>112138.25</v>
      </c>
      <c r="I1052" s="110">
        <v>5689</v>
      </c>
      <c r="J1052" s="110">
        <v>10843.85</v>
      </c>
      <c r="K1052" s="110">
        <v>14249.1</v>
      </c>
    </row>
    <row r="1053" spans="1:12" x14ac:dyDescent="0.2">
      <c r="A1053" t="s">
        <v>28</v>
      </c>
      <c r="B1053" t="s">
        <v>105</v>
      </c>
      <c r="C1053" t="s">
        <v>193</v>
      </c>
      <c r="D1053" s="110">
        <v>122288.01</v>
      </c>
      <c r="E1053" s="110">
        <v>122330.01</v>
      </c>
      <c r="I1053" s="110">
        <v>9597.75</v>
      </c>
      <c r="J1053" s="110">
        <v>17044.23</v>
      </c>
    </row>
    <row r="1054" spans="1:12" x14ac:dyDescent="0.2">
      <c r="A1054" t="s">
        <v>28</v>
      </c>
      <c r="B1054" t="s">
        <v>105</v>
      </c>
      <c r="C1054" t="s">
        <v>194</v>
      </c>
      <c r="D1054" s="110">
        <v>149983.5</v>
      </c>
      <c r="I1054" s="110">
        <v>10997.25</v>
      </c>
    </row>
    <row r="1055" spans="1:12" x14ac:dyDescent="0.2">
      <c r="A1055" t="s">
        <v>28</v>
      </c>
      <c r="B1055" t="s">
        <v>111</v>
      </c>
      <c r="C1055" t="s">
        <v>191</v>
      </c>
      <c r="D1055" s="110">
        <v>30781.5</v>
      </c>
      <c r="E1055" s="110">
        <v>30781.5</v>
      </c>
      <c r="F1055" s="110">
        <v>30781.5</v>
      </c>
      <c r="G1055" s="110">
        <v>30881.5</v>
      </c>
      <c r="I1055" s="110">
        <v>555.34</v>
      </c>
      <c r="J1055" s="110">
        <v>1790.34</v>
      </c>
      <c r="K1055" s="110">
        <v>3513.34</v>
      </c>
      <c r="L1055" s="110">
        <v>4567.34</v>
      </c>
    </row>
    <row r="1056" spans="1:12" x14ac:dyDescent="0.2">
      <c r="A1056" t="s">
        <v>28</v>
      </c>
      <c r="B1056" t="s">
        <v>111</v>
      </c>
      <c r="C1056" t="s">
        <v>192</v>
      </c>
      <c r="D1056" s="110">
        <v>19744</v>
      </c>
      <c r="E1056" s="110">
        <v>19744</v>
      </c>
      <c r="F1056" s="110">
        <v>19994</v>
      </c>
      <c r="I1056" s="110">
        <v>1359</v>
      </c>
      <c r="J1056" s="110">
        <v>2618</v>
      </c>
      <c r="K1056" s="110">
        <v>3557</v>
      </c>
    </row>
    <row r="1057" spans="1:12" x14ac:dyDescent="0.2">
      <c r="A1057" t="s">
        <v>28</v>
      </c>
      <c r="B1057" t="s">
        <v>111</v>
      </c>
      <c r="C1057" t="s">
        <v>193</v>
      </c>
      <c r="D1057" s="110">
        <v>10745.5</v>
      </c>
      <c r="E1057" s="110">
        <v>11318.5</v>
      </c>
      <c r="I1057" s="110">
        <v>413.5</v>
      </c>
      <c r="J1057" s="110">
        <v>1579.5</v>
      </c>
    </row>
    <row r="1058" spans="1:12" x14ac:dyDescent="0.2">
      <c r="A1058" t="s">
        <v>28</v>
      </c>
      <c r="B1058" t="s">
        <v>111</v>
      </c>
      <c r="C1058" t="s">
        <v>194</v>
      </c>
      <c r="D1058" s="110">
        <v>20783</v>
      </c>
      <c r="I1058" s="110">
        <v>1404</v>
      </c>
    </row>
    <row r="1059" spans="1:12" x14ac:dyDescent="0.2">
      <c r="A1059" t="s">
        <v>28</v>
      </c>
      <c r="B1059" t="s">
        <v>109</v>
      </c>
      <c r="C1059" t="s">
        <v>191</v>
      </c>
      <c r="D1059" s="110">
        <v>96532.5</v>
      </c>
      <c r="E1059" s="110">
        <v>96532.5</v>
      </c>
      <c r="F1059" s="110">
        <v>96532.5</v>
      </c>
      <c r="G1059" s="110">
        <v>96532.5</v>
      </c>
      <c r="I1059" s="110">
        <v>15957.67</v>
      </c>
      <c r="J1059" s="110">
        <v>27077.67</v>
      </c>
      <c r="K1059" s="110">
        <v>32738.92</v>
      </c>
      <c r="L1059" s="110">
        <v>39847.25</v>
      </c>
    </row>
    <row r="1060" spans="1:12" x14ac:dyDescent="0.2">
      <c r="A1060" t="s">
        <v>28</v>
      </c>
      <c r="B1060" t="s">
        <v>109</v>
      </c>
      <c r="C1060" t="s">
        <v>192</v>
      </c>
      <c r="D1060" s="110">
        <v>140379.75</v>
      </c>
      <c r="E1060" s="110">
        <v>140354.75</v>
      </c>
      <c r="F1060" s="110">
        <v>140354.75</v>
      </c>
      <c r="I1060" s="110">
        <v>19133</v>
      </c>
      <c r="J1060" s="110">
        <v>42175.75</v>
      </c>
      <c r="K1060" s="110">
        <v>49747</v>
      </c>
    </row>
    <row r="1061" spans="1:12" x14ac:dyDescent="0.2">
      <c r="A1061" t="s">
        <v>28</v>
      </c>
      <c r="B1061" t="s">
        <v>109</v>
      </c>
      <c r="C1061" t="s">
        <v>193</v>
      </c>
      <c r="D1061" s="110">
        <v>149749.5</v>
      </c>
      <c r="E1061" s="110">
        <v>149749.5</v>
      </c>
      <c r="I1061" s="110">
        <v>20260.12</v>
      </c>
      <c r="J1061" s="110">
        <v>30383.439999999999</v>
      </c>
    </row>
    <row r="1062" spans="1:12" x14ac:dyDescent="0.2">
      <c r="A1062" t="s">
        <v>28</v>
      </c>
      <c r="B1062" t="s">
        <v>109</v>
      </c>
      <c r="C1062" t="s">
        <v>194</v>
      </c>
      <c r="D1062" s="110">
        <v>137355.5</v>
      </c>
      <c r="I1062" s="110">
        <v>17288.25</v>
      </c>
    </row>
    <row r="1063" spans="1:12" x14ac:dyDescent="0.2">
      <c r="A1063" t="s">
        <v>28</v>
      </c>
      <c r="B1063" t="s">
        <v>106</v>
      </c>
      <c r="C1063" t="s">
        <v>191</v>
      </c>
      <c r="D1063" s="110">
        <v>70096.5</v>
      </c>
      <c r="E1063" s="110">
        <v>70096.5</v>
      </c>
      <c r="F1063" s="110">
        <v>70096.5</v>
      </c>
      <c r="G1063" s="110">
        <v>70096.5</v>
      </c>
      <c r="I1063" s="110">
        <v>68866.5</v>
      </c>
      <c r="J1063" s="110">
        <v>69276.5</v>
      </c>
      <c r="K1063" s="110">
        <v>69276.5</v>
      </c>
      <c r="L1063" s="110">
        <v>69276.5</v>
      </c>
    </row>
    <row r="1064" spans="1:12" x14ac:dyDescent="0.2">
      <c r="A1064" t="s">
        <v>28</v>
      </c>
      <c r="B1064" t="s">
        <v>106</v>
      </c>
      <c r="C1064" t="s">
        <v>192</v>
      </c>
      <c r="D1064" s="110">
        <v>91233.33</v>
      </c>
      <c r="E1064" s="110">
        <v>91243.33</v>
      </c>
      <c r="F1064" s="110">
        <v>91243.33</v>
      </c>
      <c r="I1064" s="110">
        <v>88003.33</v>
      </c>
      <c r="J1064" s="110">
        <v>91243.33</v>
      </c>
      <c r="K1064" s="110">
        <v>91243.33</v>
      </c>
    </row>
    <row r="1065" spans="1:12" x14ac:dyDescent="0.2">
      <c r="A1065" t="s">
        <v>28</v>
      </c>
      <c r="B1065" t="s">
        <v>106</v>
      </c>
      <c r="C1065" t="s">
        <v>193</v>
      </c>
      <c r="D1065" s="110">
        <v>158869.10999999999</v>
      </c>
      <c r="E1065" s="110">
        <v>159374.10999999999</v>
      </c>
      <c r="I1065" s="110">
        <v>157874.10999999999</v>
      </c>
      <c r="J1065" s="110">
        <v>159374.10999999999</v>
      </c>
    </row>
    <row r="1066" spans="1:12" x14ac:dyDescent="0.2">
      <c r="A1066" t="s">
        <v>28</v>
      </c>
      <c r="B1066" t="s">
        <v>106</v>
      </c>
      <c r="C1066" t="s">
        <v>194</v>
      </c>
      <c r="D1066" s="110">
        <v>119390.74</v>
      </c>
      <c r="I1066" s="110">
        <v>117503.24</v>
      </c>
    </row>
    <row r="1067" spans="1:12" x14ac:dyDescent="0.2">
      <c r="A1067" t="s">
        <v>28</v>
      </c>
      <c r="B1067" t="s">
        <v>107</v>
      </c>
      <c r="C1067" t="s">
        <v>191</v>
      </c>
      <c r="D1067" s="110">
        <v>129432.14</v>
      </c>
      <c r="E1067" s="110">
        <v>129432.14</v>
      </c>
      <c r="F1067" s="110">
        <v>129432.14</v>
      </c>
      <c r="G1067" s="110">
        <v>129432.14</v>
      </c>
      <c r="I1067" s="110">
        <v>126417.14</v>
      </c>
      <c r="J1067" s="110">
        <v>129432.14</v>
      </c>
      <c r="K1067" s="110">
        <v>129432.14</v>
      </c>
      <c r="L1067" s="110">
        <v>129432.14</v>
      </c>
    </row>
    <row r="1068" spans="1:12" x14ac:dyDescent="0.2">
      <c r="A1068" t="s">
        <v>28</v>
      </c>
      <c r="B1068" t="s">
        <v>107</v>
      </c>
      <c r="C1068" t="s">
        <v>192</v>
      </c>
      <c r="D1068" s="110">
        <v>105778.73</v>
      </c>
      <c r="E1068" s="110">
        <v>105798.73</v>
      </c>
      <c r="F1068" s="110">
        <v>105798.73</v>
      </c>
      <c r="I1068" s="110">
        <v>103153.73</v>
      </c>
      <c r="J1068" s="110">
        <v>105983.73</v>
      </c>
      <c r="K1068" s="110">
        <v>105983.73</v>
      </c>
    </row>
    <row r="1069" spans="1:12" x14ac:dyDescent="0.2">
      <c r="A1069" t="s">
        <v>28</v>
      </c>
      <c r="B1069" t="s">
        <v>107</v>
      </c>
      <c r="C1069" t="s">
        <v>193</v>
      </c>
      <c r="D1069" s="110">
        <v>119432.62</v>
      </c>
      <c r="E1069" s="110">
        <v>119432.62</v>
      </c>
      <c r="I1069" s="110">
        <v>118937.62</v>
      </c>
      <c r="J1069" s="110">
        <v>119432.62</v>
      </c>
    </row>
    <row r="1070" spans="1:12" x14ac:dyDescent="0.2">
      <c r="A1070" t="s">
        <v>28</v>
      </c>
      <c r="B1070" t="s">
        <v>107</v>
      </c>
      <c r="C1070" t="s">
        <v>194</v>
      </c>
      <c r="D1070" s="110">
        <v>107775.01</v>
      </c>
      <c r="I1070" s="110">
        <v>107065.01</v>
      </c>
    </row>
    <row r="1071" spans="1:12" x14ac:dyDescent="0.2">
      <c r="A1071" t="s">
        <v>28</v>
      </c>
      <c r="B1071" t="s">
        <v>108</v>
      </c>
      <c r="C1071" t="s">
        <v>191</v>
      </c>
      <c r="D1071" s="110">
        <v>51170.3</v>
      </c>
      <c r="E1071" s="110">
        <v>51170.3</v>
      </c>
      <c r="F1071" s="110">
        <v>51170.3</v>
      </c>
      <c r="G1071" s="110">
        <v>51170.3</v>
      </c>
      <c r="I1071" s="110">
        <v>50936.3</v>
      </c>
      <c r="J1071" s="110">
        <v>50936.3</v>
      </c>
      <c r="K1071" s="110">
        <v>50936.3</v>
      </c>
      <c r="L1071" s="110">
        <v>50936.3</v>
      </c>
    </row>
    <row r="1072" spans="1:12" x14ac:dyDescent="0.2">
      <c r="A1072" t="s">
        <v>28</v>
      </c>
      <c r="B1072" t="s">
        <v>108</v>
      </c>
      <c r="C1072" t="s">
        <v>192</v>
      </c>
      <c r="D1072" s="110">
        <v>53510.5</v>
      </c>
      <c r="E1072" s="110">
        <v>53510.5</v>
      </c>
      <c r="F1072" s="110">
        <v>53513.5</v>
      </c>
      <c r="I1072" s="110">
        <v>50772.5</v>
      </c>
      <c r="J1072" s="110">
        <v>53279.5</v>
      </c>
      <c r="K1072" s="110">
        <v>53282.5</v>
      </c>
    </row>
    <row r="1073" spans="1:12" x14ac:dyDescent="0.2">
      <c r="A1073" t="s">
        <v>28</v>
      </c>
      <c r="B1073" t="s">
        <v>108</v>
      </c>
      <c r="C1073" t="s">
        <v>193</v>
      </c>
      <c r="D1073" s="110">
        <v>58100.7</v>
      </c>
      <c r="E1073" s="110">
        <v>58112.7</v>
      </c>
      <c r="I1073" s="110">
        <v>56506.7</v>
      </c>
      <c r="J1073" s="110">
        <v>57249.7</v>
      </c>
    </row>
    <row r="1074" spans="1:12" x14ac:dyDescent="0.2">
      <c r="A1074" t="s">
        <v>28</v>
      </c>
      <c r="B1074" t="s">
        <v>108</v>
      </c>
      <c r="C1074" t="s">
        <v>194</v>
      </c>
      <c r="D1074" s="110">
        <v>59184.36</v>
      </c>
      <c r="I1074" s="110">
        <v>58378.36</v>
      </c>
    </row>
    <row r="1075" spans="1:12" x14ac:dyDescent="0.2">
      <c r="A1075" t="s">
        <v>28</v>
      </c>
      <c r="B1075" t="s">
        <v>70</v>
      </c>
      <c r="C1075" t="s">
        <v>191</v>
      </c>
      <c r="D1075" s="110">
        <v>37368.5</v>
      </c>
      <c r="E1075" s="110">
        <v>37418.5</v>
      </c>
      <c r="F1075" s="110">
        <v>37025.5</v>
      </c>
      <c r="G1075" s="110">
        <v>37015.5</v>
      </c>
      <c r="I1075" s="110">
        <v>34064</v>
      </c>
      <c r="J1075" s="110">
        <v>34741.5</v>
      </c>
      <c r="K1075" s="110">
        <v>34796.5</v>
      </c>
      <c r="L1075" s="110">
        <v>34866.5</v>
      </c>
    </row>
    <row r="1076" spans="1:12" x14ac:dyDescent="0.2">
      <c r="A1076" t="s">
        <v>28</v>
      </c>
      <c r="B1076" t="s">
        <v>70</v>
      </c>
      <c r="C1076" t="s">
        <v>192</v>
      </c>
      <c r="D1076" s="110">
        <v>51606</v>
      </c>
      <c r="E1076" s="110">
        <v>51206</v>
      </c>
      <c r="F1076" s="110">
        <v>51206</v>
      </c>
      <c r="I1076" s="110">
        <v>48080</v>
      </c>
      <c r="J1076" s="110">
        <v>48508</v>
      </c>
      <c r="K1076" s="110">
        <v>48558</v>
      </c>
    </row>
    <row r="1077" spans="1:12" x14ac:dyDescent="0.2">
      <c r="A1077" t="s">
        <v>28</v>
      </c>
      <c r="B1077" t="s">
        <v>70</v>
      </c>
      <c r="C1077" t="s">
        <v>193</v>
      </c>
      <c r="D1077" s="110">
        <v>51083</v>
      </c>
      <c r="E1077" s="110">
        <v>51083</v>
      </c>
      <c r="I1077" s="110">
        <v>47544</v>
      </c>
      <c r="J1077" s="110">
        <v>47544</v>
      </c>
    </row>
    <row r="1078" spans="1:12" x14ac:dyDescent="0.2">
      <c r="A1078" t="s">
        <v>28</v>
      </c>
      <c r="B1078" t="s">
        <v>70</v>
      </c>
      <c r="C1078" t="s">
        <v>194</v>
      </c>
      <c r="D1078" s="110">
        <v>40775</v>
      </c>
      <c r="I1078" s="110">
        <v>37091.29</v>
      </c>
    </row>
    <row r="1079" spans="1:12" x14ac:dyDescent="0.2">
      <c r="A1079" t="s">
        <v>28</v>
      </c>
      <c r="B1079" t="s">
        <v>110</v>
      </c>
      <c r="C1079" t="s">
        <v>191</v>
      </c>
      <c r="D1079" s="110">
        <v>158947.25</v>
      </c>
      <c r="E1079" s="110">
        <v>156176.75</v>
      </c>
      <c r="F1079" s="110">
        <v>156176.75</v>
      </c>
      <c r="G1079" s="110">
        <v>156176.75</v>
      </c>
      <c r="I1079" s="110">
        <v>58921.25</v>
      </c>
      <c r="J1079" s="110">
        <v>121731.41</v>
      </c>
      <c r="K1079" s="110">
        <v>134679.75</v>
      </c>
      <c r="L1079" s="110">
        <v>137271.25</v>
      </c>
    </row>
    <row r="1080" spans="1:12" x14ac:dyDescent="0.2">
      <c r="A1080" t="s">
        <v>28</v>
      </c>
      <c r="B1080" t="s">
        <v>110</v>
      </c>
      <c r="C1080" t="s">
        <v>192</v>
      </c>
      <c r="D1080" s="110">
        <v>187829.9</v>
      </c>
      <c r="E1080" s="110">
        <v>185295.15</v>
      </c>
      <c r="F1080" s="110">
        <v>185132.15</v>
      </c>
      <c r="I1080" s="110">
        <v>96830.399999999994</v>
      </c>
      <c r="J1080" s="110">
        <v>155524.65</v>
      </c>
      <c r="K1080" s="110">
        <v>165022.65</v>
      </c>
    </row>
    <row r="1081" spans="1:12" x14ac:dyDescent="0.2">
      <c r="A1081" t="s">
        <v>28</v>
      </c>
      <c r="B1081" t="s">
        <v>110</v>
      </c>
      <c r="C1081" t="s">
        <v>193</v>
      </c>
      <c r="D1081" s="110">
        <v>156411.5</v>
      </c>
      <c r="E1081" s="110">
        <v>153973.75</v>
      </c>
      <c r="I1081" s="110">
        <v>83773</v>
      </c>
      <c r="J1081" s="110">
        <v>127671.25</v>
      </c>
    </row>
    <row r="1082" spans="1:12" x14ac:dyDescent="0.2">
      <c r="A1082" t="s">
        <v>28</v>
      </c>
      <c r="B1082" t="s">
        <v>110</v>
      </c>
      <c r="C1082" t="s">
        <v>194</v>
      </c>
      <c r="D1082" s="110">
        <v>216315.65</v>
      </c>
      <c r="I1082" s="110">
        <v>107568.15</v>
      </c>
    </row>
    <row r="1083" spans="1:12" x14ac:dyDescent="0.2">
      <c r="A1083" t="s">
        <v>29</v>
      </c>
      <c r="B1083" t="s">
        <v>104</v>
      </c>
      <c r="C1083" t="s">
        <v>191</v>
      </c>
      <c r="D1083" s="110">
        <v>5799363</v>
      </c>
      <c r="E1083" s="110">
        <v>5770995</v>
      </c>
      <c r="F1083" s="110">
        <v>5755351</v>
      </c>
      <c r="G1083" s="110">
        <v>5732636</v>
      </c>
      <c r="I1083" s="110">
        <v>275221</v>
      </c>
      <c r="J1083" s="110">
        <v>368370</v>
      </c>
      <c r="K1083" s="110">
        <v>440913</v>
      </c>
      <c r="L1083" s="110">
        <v>492054</v>
      </c>
    </row>
    <row r="1084" spans="1:12" x14ac:dyDescent="0.2">
      <c r="A1084" t="s">
        <v>29</v>
      </c>
      <c r="B1084" t="s">
        <v>104</v>
      </c>
      <c r="C1084" t="s">
        <v>192</v>
      </c>
      <c r="D1084" s="110">
        <v>6756227</v>
      </c>
      <c r="E1084" s="110">
        <v>6726832</v>
      </c>
      <c r="F1084" s="110">
        <v>6701291</v>
      </c>
      <c r="I1084" s="110">
        <v>275365</v>
      </c>
      <c r="J1084" s="110">
        <v>380415</v>
      </c>
      <c r="K1084" s="110">
        <v>434251</v>
      </c>
    </row>
    <row r="1085" spans="1:12" x14ac:dyDescent="0.2">
      <c r="A1085" t="s">
        <v>29</v>
      </c>
      <c r="B1085" t="s">
        <v>104</v>
      </c>
      <c r="C1085" t="s">
        <v>193</v>
      </c>
      <c r="D1085" s="110">
        <v>8458443</v>
      </c>
      <c r="E1085" s="110">
        <v>8422129</v>
      </c>
      <c r="I1085" s="110">
        <v>282575</v>
      </c>
      <c r="J1085" s="110">
        <v>363128</v>
      </c>
    </row>
    <row r="1086" spans="1:12" x14ac:dyDescent="0.2">
      <c r="A1086" t="s">
        <v>29</v>
      </c>
      <c r="B1086" t="s">
        <v>104</v>
      </c>
      <c r="C1086" t="s">
        <v>194</v>
      </c>
      <c r="D1086" s="110">
        <v>11092290</v>
      </c>
      <c r="I1086" s="110">
        <v>285821</v>
      </c>
    </row>
    <row r="1087" spans="1:12" x14ac:dyDescent="0.2">
      <c r="A1087" t="s">
        <v>29</v>
      </c>
      <c r="B1087" t="s">
        <v>140</v>
      </c>
      <c r="C1087" t="s">
        <v>191</v>
      </c>
      <c r="D1087" s="110">
        <v>3158590</v>
      </c>
      <c r="E1087" s="110">
        <v>3158490</v>
      </c>
      <c r="F1087" s="110">
        <v>3158240</v>
      </c>
      <c r="G1087" s="110">
        <v>3158240</v>
      </c>
      <c r="I1087" s="110">
        <v>799</v>
      </c>
      <c r="J1087" s="110">
        <v>1655</v>
      </c>
      <c r="K1087" s="110">
        <v>2069</v>
      </c>
      <c r="L1087" s="110">
        <v>2739</v>
      </c>
    </row>
    <row r="1088" spans="1:12" x14ac:dyDescent="0.2">
      <c r="A1088" t="s">
        <v>29</v>
      </c>
      <c r="B1088" t="s">
        <v>140</v>
      </c>
      <c r="C1088" t="s">
        <v>192</v>
      </c>
      <c r="D1088" s="110">
        <v>4111013</v>
      </c>
      <c r="E1088" s="110">
        <v>4110388</v>
      </c>
      <c r="F1088" s="110">
        <v>4110288</v>
      </c>
      <c r="I1088" s="110">
        <v>573</v>
      </c>
      <c r="J1088" s="110">
        <v>2583</v>
      </c>
      <c r="K1088" s="110">
        <v>4494</v>
      </c>
    </row>
    <row r="1089" spans="1:12" x14ac:dyDescent="0.2">
      <c r="A1089" t="s">
        <v>29</v>
      </c>
      <c r="B1089" t="s">
        <v>140</v>
      </c>
      <c r="C1089" t="s">
        <v>193</v>
      </c>
      <c r="D1089" s="110">
        <v>5850975</v>
      </c>
      <c r="E1089" s="110">
        <v>5843373</v>
      </c>
      <c r="I1089" s="110">
        <v>308</v>
      </c>
      <c r="J1089" s="110">
        <v>3039</v>
      </c>
    </row>
    <row r="1090" spans="1:12" x14ac:dyDescent="0.2">
      <c r="A1090" t="s">
        <v>29</v>
      </c>
      <c r="B1090" t="s">
        <v>140</v>
      </c>
      <c r="C1090" t="s">
        <v>194</v>
      </c>
      <c r="D1090" s="110">
        <v>7819431</v>
      </c>
      <c r="I1090" s="110">
        <v>738</v>
      </c>
    </row>
    <row r="1091" spans="1:12" x14ac:dyDescent="0.2">
      <c r="A1091" t="s">
        <v>29</v>
      </c>
      <c r="B1091" t="s">
        <v>105</v>
      </c>
      <c r="C1091" t="s">
        <v>191</v>
      </c>
      <c r="D1091" s="110">
        <v>1457742</v>
      </c>
      <c r="E1091" s="110">
        <v>1336787</v>
      </c>
      <c r="F1091" s="110">
        <v>1278128</v>
      </c>
      <c r="G1091" s="110">
        <v>1250318</v>
      </c>
      <c r="I1091" s="110">
        <v>236577</v>
      </c>
      <c r="J1091" s="110">
        <v>393991</v>
      </c>
      <c r="K1091" s="110">
        <v>450750</v>
      </c>
      <c r="L1091" s="110">
        <v>478463</v>
      </c>
    </row>
    <row r="1092" spans="1:12" x14ac:dyDescent="0.2">
      <c r="A1092" t="s">
        <v>29</v>
      </c>
      <c r="B1092" t="s">
        <v>105</v>
      </c>
      <c r="C1092" t="s">
        <v>192</v>
      </c>
      <c r="D1092" s="110">
        <v>1495108</v>
      </c>
      <c r="E1092" s="110">
        <v>1371804</v>
      </c>
      <c r="F1092" s="110">
        <v>1323284</v>
      </c>
      <c r="I1092" s="110">
        <v>274800</v>
      </c>
      <c r="J1092" s="110">
        <v>422517</v>
      </c>
      <c r="K1092" s="110">
        <v>475674</v>
      </c>
    </row>
    <row r="1093" spans="1:12" x14ac:dyDescent="0.2">
      <c r="A1093" t="s">
        <v>29</v>
      </c>
      <c r="B1093" t="s">
        <v>105</v>
      </c>
      <c r="C1093" t="s">
        <v>193</v>
      </c>
      <c r="D1093" s="110">
        <v>1558779</v>
      </c>
      <c r="E1093" s="110">
        <v>1443456</v>
      </c>
      <c r="I1093" s="110">
        <v>262382</v>
      </c>
      <c r="J1093" s="110">
        <v>424416</v>
      </c>
    </row>
    <row r="1094" spans="1:12" x14ac:dyDescent="0.2">
      <c r="A1094" t="s">
        <v>29</v>
      </c>
      <c r="B1094" t="s">
        <v>105</v>
      </c>
      <c r="C1094" t="s">
        <v>194</v>
      </c>
      <c r="D1094" s="110">
        <v>1241167</v>
      </c>
      <c r="I1094" s="110">
        <v>217181</v>
      </c>
    </row>
    <row r="1095" spans="1:12" x14ac:dyDescent="0.2">
      <c r="A1095" t="s">
        <v>29</v>
      </c>
      <c r="B1095" t="s">
        <v>111</v>
      </c>
      <c r="C1095" t="s">
        <v>191</v>
      </c>
      <c r="D1095" s="110">
        <v>92244</v>
      </c>
      <c r="E1095" s="110">
        <v>91544</v>
      </c>
      <c r="F1095" s="110">
        <v>91194</v>
      </c>
      <c r="G1095" s="110">
        <v>90894</v>
      </c>
      <c r="I1095" s="110">
        <v>2872</v>
      </c>
      <c r="J1095" s="110">
        <v>4490</v>
      </c>
      <c r="K1095" s="110">
        <v>6416</v>
      </c>
      <c r="L1095" s="110">
        <v>7843</v>
      </c>
    </row>
    <row r="1096" spans="1:12" x14ac:dyDescent="0.2">
      <c r="A1096" t="s">
        <v>29</v>
      </c>
      <c r="B1096" t="s">
        <v>111</v>
      </c>
      <c r="C1096" t="s">
        <v>192</v>
      </c>
      <c r="D1096" s="110">
        <v>99069</v>
      </c>
      <c r="E1096" s="110">
        <v>98269</v>
      </c>
      <c r="F1096" s="110">
        <v>97769</v>
      </c>
      <c r="I1096" s="110">
        <v>3077</v>
      </c>
      <c r="J1096" s="110">
        <v>5351</v>
      </c>
      <c r="K1096" s="110">
        <v>7291</v>
      </c>
    </row>
    <row r="1097" spans="1:12" x14ac:dyDescent="0.2">
      <c r="A1097" t="s">
        <v>29</v>
      </c>
      <c r="B1097" t="s">
        <v>111</v>
      </c>
      <c r="C1097" t="s">
        <v>193</v>
      </c>
      <c r="D1097" s="110">
        <v>82091</v>
      </c>
      <c r="E1097" s="110">
        <v>80991</v>
      </c>
      <c r="I1097" s="110">
        <v>3417</v>
      </c>
      <c r="J1097" s="110">
        <v>5894</v>
      </c>
    </row>
    <row r="1098" spans="1:12" x14ac:dyDescent="0.2">
      <c r="A1098" t="s">
        <v>29</v>
      </c>
      <c r="B1098" t="s">
        <v>111</v>
      </c>
      <c r="C1098" t="s">
        <v>194</v>
      </c>
      <c r="D1098" s="110">
        <v>85160</v>
      </c>
      <c r="I1098" s="110">
        <v>3535</v>
      </c>
    </row>
    <row r="1099" spans="1:12" x14ac:dyDescent="0.2">
      <c r="A1099" t="s">
        <v>29</v>
      </c>
      <c r="B1099" t="s">
        <v>109</v>
      </c>
      <c r="C1099" t="s">
        <v>191</v>
      </c>
      <c r="D1099" s="110">
        <v>2598271</v>
      </c>
      <c r="E1099" s="110">
        <v>2482488</v>
      </c>
      <c r="F1099" s="110">
        <v>2364606</v>
      </c>
      <c r="G1099" s="110">
        <v>2291950</v>
      </c>
      <c r="I1099" s="110">
        <v>613679</v>
      </c>
      <c r="J1099" s="110">
        <v>1239809</v>
      </c>
      <c r="K1099" s="110">
        <v>1479976</v>
      </c>
      <c r="L1099" s="110">
        <v>1612195</v>
      </c>
    </row>
    <row r="1100" spans="1:12" x14ac:dyDescent="0.2">
      <c r="A1100" t="s">
        <v>29</v>
      </c>
      <c r="B1100" t="s">
        <v>109</v>
      </c>
      <c r="C1100" t="s">
        <v>192</v>
      </c>
      <c r="D1100" s="110">
        <v>2601177</v>
      </c>
      <c r="E1100" s="110">
        <v>2462547</v>
      </c>
      <c r="F1100" s="110">
        <v>2363571</v>
      </c>
      <c r="I1100" s="110">
        <v>774822</v>
      </c>
      <c r="J1100" s="110">
        <v>1249731</v>
      </c>
      <c r="K1100" s="110">
        <v>1454509</v>
      </c>
    </row>
    <row r="1101" spans="1:12" x14ac:dyDescent="0.2">
      <c r="A1101" t="s">
        <v>29</v>
      </c>
      <c r="B1101" t="s">
        <v>109</v>
      </c>
      <c r="C1101" t="s">
        <v>193</v>
      </c>
      <c r="D1101" s="110">
        <v>2535216</v>
      </c>
      <c r="E1101" s="110">
        <v>2421440</v>
      </c>
      <c r="I1101" s="110">
        <v>684086</v>
      </c>
      <c r="J1101" s="110">
        <v>1118929</v>
      </c>
    </row>
    <row r="1102" spans="1:12" x14ac:dyDescent="0.2">
      <c r="A1102" t="s">
        <v>29</v>
      </c>
      <c r="B1102" t="s">
        <v>109</v>
      </c>
      <c r="C1102" t="s">
        <v>194</v>
      </c>
      <c r="D1102" s="110">
        <v>2073716</v>
      </c>
      <c r="I1102" s="110">
        <v>665700</v>
      </c>
    </row>
    <row r="1103" spans="1:12" x14ac:dyDescent="0.2">
      <c r="A1103" t="s">
        <v>29</v>
      </c>
      <c r="B1103" t="s">
        <v>106</v>
      </c>
      <c r="C1103" t="s">
        <v>191</v>
      </c>
      <c r="D1103" s="110">
        <v>1472577</v>
      </c>
      <c r="E1103" s="110">
        <v>1466584</v>
      </c>
      <c r="F1103" s="110">
        <v>1464241</v>
      </c>
      <c r="G1103" s="110">
        <v>1464241</v>
      </c>
      <c r="I1103" s="110">
        <v>1415309</v>
      </c>
      <c r="J1103" s="110">
        <v>1434328</v>
      </c>
      <c r="K1103" s="110">
        <v>1436148</v>
      </c>
      <c r="L1103" s="110">
        <v>1436723</v>
      </c>
    </row>
    <row r="1104" spans="1:12" x14ac:dyDescent="0.2">
      <c r="A1104" t="s">
        <v>29</v>
      </c>
      <c r="B1104" t="s">
        <v>106</v>
      </c>
      <c r="C1104" t="s">
        <v>192</v>
      </c>
      <c r="D1104" s="110">
        <v>2068246</v>
      </c>
      <c r="E1104" s="110">
        <v>2035079</v>
      </c>
      <c r="F1104" s="110">
        <v>2034834</v>
      </c>
      <c r="I1104" s="110">
        <v>2016405</v>
      </c>
      <c r="J1104" s="110">
        <v>2006134</v>
      </c>
      <c r="K1104" s="110">
        <v>2008297</v>
      </c>
    </row>
    <row r="1105" spans="1:12" x14ac:dyDescent="0.2">
      <c r="A1105" t="s">
        <v>29</v>
      </c>
      <c r="B1105" t="s">
        <v>106</v>
      </c>
      <c r="C1105" t="s">
        <v>193</v>
      </c>
      <c r="D1105" s="110">
        <v>2589145</v>
      </c>
      <c r="E1105" s="110">
        <v>2562109</v>
      </c>
      <c r="I1105" s="110">
        <v>2526568</v>
      </c>
      <c r="J1105" s="110">
        <v>2530372</v>
      </c>
    </row>
    <row r="1106" spans="1:12" x14ac:dyDescent="0.2">
      <c r="A1106" t="s">
        <v>29</v>
      </c>
      <c r="B1106" t="s">
        <v>106</v>
      </c>
      <c r="C1106" t="s">
        <v>194</v>
      </c>
      <c r="D1106" s="110">
        <v>2544389</v>
      </c>
      <c r="I1106" s="110">
        <v>2473463</v>
      </c>
    </row>
    <row r="1107" spans="1:12" x14ac:dyDescent="0.2">
      <c r="A1107" t="s">
        <v>29</v>
      </c>
      <c r="B1107" t="s">
        <v>107</v>
      </c>
      <c r="C1107" t="s">
        <v>191</v>
      </c>
      <c r="D1107" s="110">
        <v>2971183</v>
      </c>
      <c r="E1107" s="110">
        <v>2970668</v>
      </c>
      <c r="F1107" s="110">
        <v>2964385</v>
      </c>
      <c r="G1107" s="110">
        <v>2963875</v>
      </c>
      <c r="I1107" s="110">
        <v>2946756</v>
      </c>
      <c r="J1107" s="110">
        <v>2954632</v>
      </c>
      <c r="K1107" s="110">
        <v>2953070</v>
      </c>
      <c r="L1107" s="110">
        <v>2953042</v>
      </c>
    </row>
    <row r="1108" spans="1:12" x14ac:dyDescent="0.2">
      <c r="A1108" t="s">
        <v>29</v>
      </c>
      <c r="B1108" t="s">
        <v>107</v>
      </c>
      <c r="C1108" t="s">
        <v>192</v>
      </c>
      <c r="D1108" s="110">
        <v>3147259</v>
      </c>
      <c r="E1108" s="110">
        <v>3137326</v>
      </c>
      <c r="F1108" s="110">
        <v>3136776</v>
      </c>
      <c r="I1108" s="110">
        <v>3129859</v>
      </c>
      <c r="J1108" s="110">
        <v>3130823</v>
      </c>
      <c r="K1108" s="110">
        <v>3130314</v>
      </c>
    </row>
    <row r="1109" spans="1:12" x14ac:dyDescent="0.2">
      <c r="A1109" t="s">
        <v>29</v>
      </c>
      <c r="B1109" t="s">
        <v>107</v>
      </c>
      <c r="C1109" t="s">
        <v>193</v>
      </c>
      <c r="D1109" s="110">
        <v>3366955</v>
      </c>
      <c r="E1109" s="110">
        <v>3363760</v>
      </c>
      <c r="I1109" s="110">
        <v>3338060</v>
      </c>
      <c r="J1109" s="110">
        <v>3340608</v>
      </c>
    </row>
    <row r="1110" spans="1:12" x14ac:dyDescent="0.2">
      <c r="A1110" t="s">
        <v>29</v>
      </c>
      <c r="B1110" t="s">
        <v>107</v>
      </c>
      <c r="C1110" t="s">
        <v>194</v>
      </c>
      <c r="D1110" s="110">
        <v>3040486</v>
      </c>
      <c r="I1110" s="110">
        <v>3020162</v>
      </c>
    </row>
    <row r="1111" spans="1:12" x14ac:dyDescent="0.2">
      <c r="A1111" t="s">
        <v>29</v>
      </c>
      <c r="B1111" t="s">
        <v>108</v>
      </c>
      <c r="C1111" t="s">
        <v>191</v>
      </c>
      <c r="D1111" s="110">
        <v>309684</v>
      </c>
      <c r="E1111" s="110">
        <v>308999</v>
      </c>
      <c r="F1111" s="110">
        <v>308999</v>
      </c>
      <c r="G1111" s="110">
        <v>308999</v>
      </c>
      <c r="I1111" s="110">
        <v>304206</v>
      </c>
      <c r="J1111" s="110">
        <v>305434</v>
      </c>
      <c r="K1111" s="110">
        <v>305477</v>
      </c>
      <c r="L1111" s="110">
        <v>305477</v>
      </c>
    </row>
    <row r="1112" spans="1:12" x14ac:dyDescent="0.2">
      <c r="A1112" t="s">
        <v>29</v>
      </c>
      <c r="B1112" t="s">
        <v>108</v>
      </c>
      <c r="C1112" t="s">
        <v>192</v>
      </c>
      <c r="D1112" s="110">
        <v>355750</v>
      </c>
      <c r="E1112" s="110">
        <v>353592</v>
      </c>
      <c r="F1112" s="110">
        <v>353592</v>
      </c>
      <c r="I1112" s="110">
        <v>348409</v>
      </c>
      <c r="J1112" s="110">
        <v>349503</v>
      </c>
      <c r="K1112" s="110">
        <v>349649</v>
      </c>
    </row>
    <row r="1113" spans="1:12" x14ac:dyDescent="0.2">
      <c r="A1113" t="s">
        <v>29</v>
      </c>
      <c r="B1113" t="s">
        <v>108</v>
      </c>
      <c r="C1113" t="s">
        <v>193</v>
      </c>
      <c r="D1113" s="110">
        <v>343351</v>
      </c>
      <c r="E1113" s="110">
        <v>342963</v>
      </c>
      <c r="I1113" s="110">
        <v>335181</v>
      </c>
      <c r="J1113" s="110">
        <v>336251</v>
      </c>
    </row>
    <row r="1114" spans="1:12" x14ac:dyDescent="0.2">
      <c r="A1114" t="s">
        <v>29</v>
      </c>
      <c r="B1114" t="s">
        <v>108</v>
      </c>
      <c r="C1114" t="s">
        <v>194</v>
      </c>
      <c r="D1114" s="110">
        <v>351564</v>
      </c>
      <c r="I1114" s="110">
        <v>345212</v>
      </c>
    </row>
    <row r="1115" spans="1:12" x14ac:dyDescent="0.2">
      <c r="A1115" t="s">
        <v>29</v>
      </c>
      <c r="B1115" t="s">
        <v>70</v>
      </c>
      <c r="C1115" t="s">
        <v>191</v>
      </c>
      <c r="D1115" s="110">
        <v>705285</v>
      </c>
      <c r="E1115" s="110">
        <v>696661</v>
      </c>
      <c r="F1115" s="110">
        <v>693307</v>
      </c>
      <c r="G1115" s="110">
        <v>692417</v>
      </c>
      <c r="I1115" s="110">
        <v>654641</v>
      </c>
      <c r="J1115" s="110">
        <v>658042</v>
      </c>
      <c r="K1115" s="110">
        <v>659285</v>
      </c>
      <c r="L1115" s="110">
        <v>659311</v>
      </c>
    </row>
    <row r="1116" spans="1:12" x14ac:dyDescent="0.2">
      <c r="A1116" t="s">
        <v>29</v>
      </c>
      <c r="B1116" t="s">
        <v>70</v>
      </c>
      <c r="C1116" t="s">
        <v>192</v>
      </c>
      <c r="D1116" s="110">
        <v>783850</v>
      </c>
      <c r="E1116" s="110">
        <v>771632</v>
      </c>
      <c r="F1116" s="110">
        <v>770929</v>
      </c>
      <c r="I1116" s="110">
        <v>738061</v>
      </c>
      <c r="J1116" s="110">
        <v>741991</v>
      </c>
      <c r="K1116" s="110">
        <v>741795</v>
      </c>
    </row>
    <row r="1117" spans="1:12" x14ac:dyDescent="0.2">
      <c r="A1117" t="s">
        <v>29</v>
      </c>
      <c r="B1117" t="s">
        <v>70</v>
      </c>
      <c r="C1117" t="s">
        <v>193</v>
      </c>
      <c r="D1117" s="110">
        <v>763771</v>
      </c>
      <c r="E1117" s="110">
        <v>758112</v>
      </c>
      <c r="I1117" s="110">
        <v>720533</v>
      </c>
      <c r="J1117" s="110">
        <v>725769</v>
      </c>
    </row>
    <row r="1118" spans="1:12" x14ac:dyDescent="0.2">
      <c r="A1118" t="s">
        <v>29</v>
      </c>
      <c r="B1118" t="s">
        <v>70</v>
      </c>
      <c r="C1118" t="s">
        <v>194</v>
      </c>
      <c r="D1118" s="110">
        <v>771131</v>
      </c>
      <c r="I1118" s="110">
        <v>723869</v>
      </c>
    </row>
    <row r="1119" spans="1:12" x14ac:dyDescent="0.2">
      <c r="A1119" t="s">
        <v>29</v>
      </c>
      <c r="B1119" t="s">
        <v>110</v>
      </c>
      <c r="C1119" t="s">
        <v>191</v>
      </c>
      <c r="D1119" s="110">
        <v>8058658</v>
      </c>
      <c r="E1119" s="110">
        <v>6846458</v>
      </c>
      <c r="F1119" s="110">
        <v>6266366</v>
      </c>
      <c r="G1119" s="110">
        <v>6156200</v>
      </c>
      <c r="I1119" s="110">
        <v>2344153</v>
      </c>
      <c r="J1119" s="110">
        <v>4267504</v>
      </c>
      <c r="K1119" s="110">
        <v>4810988</v>
      </c>
      <c r="L1119" s="110">
        <v>5030618</v>
      </c>
    </row>
    <row r="1120" spans="1:12" x14ac:dyDescent="0.2">
      <c r="A1120" t="s">
        <v>29</v>
      </c>
      <c r="B1120" t="s">
        <v>110</v>
      </c>
      <c r="C1120" t="s">
        <v>192</v>
      </c>
      <c r="D1120" s="110">
        <v>7920194</v>
      </c>
      <c r="E1120" s="110">
        <v>6649553</v>
      </c>
      <c r="F1120" s="110">
        <v>6127121</v>
      </c>
      <c r="I1120" s="110">
        <v>2581574</v>
      </c>
      <c r="J1120" s="110">
        <v>4130698</v>
      </c>
      <c r="K1120" s="110">
        <v>4565328</v>
      </c>
    </row>
    <row r="1121" spans="1:12" x14ac:dyDescent="0.2">
      <c r="A1121" t="s">
        <v>29</v>
      </c>
      <c r="B1121" t="s">
        <v>110</v>
      </c>
      <c r="C1121" t="s">
        <v>193</v>
      </c>
      <c r="D1121" s="110">
        <v>7716956</v>
      </c>
      <c r="E1121" s="110">
        <v>6647222</v>
      </c>
      <c r="I1121" s="110">
        <v>2364788</v>
      </c>
      <c r="J1121" s="110">
        <v>3857203</v>
      </c>
    </row>
    <row r="1122" spans="1:12" x14ac:dyDescent="0.2">
      <c r="A1122" t="s">
        <v>29</v>
      </c>
      <c r="B1122" t="s">
        <v>110</v>
      </c>
      <c r="C1122" t="s">
        <v>194</v>
      </c>
      <c r="D1122" s="110">
        <v>8276602</v>
      </c>
      <c r="I1122" s="110">
        <v>2169937</v>
      </c>
    </row>
    <row r="1123" spans="1:12" x14ac:dyDescent="0.2">
      <c r="A1123" t="s">
        <v>30</v>
      </c>
      <c r="B1123" t="s">
        <v>104</v>
      </c>
      <c r="C1123" t="s">
        <v>191</v>
      </c>
      <c r="D1123" s="110">
        <v>370136.75</v>
      </c>
      <c r="E1123" s="110">
        <v>369503.75</v>
      </c>
      <c r="F1123" s="110">
        <v>370963.75</v>
      </c>
      <c r="G1123" s="110">
        <v>369963.75</v>
      </c>
      <c r="I1123" s="110">
        <v>3524.36</v>
      </c>
      <c r="J1123" s="110">
        <v>9232.76</v>
      </c>
      <c r="K1123" s="110">
        <v>19202.39</v>
      </c>
      <c r="L1123" s="110">
        <v>23554.43</v>
      </c>
    </row>
    <row r="1124" spans="1:12" x14ac:dyDescent="0.2">
      <c r="A1124" t="s">
        <v>30</v>
      </c>
      <c r="B1124" t="s">
        <v>104</v>
      </c>
      <c r="C1124" t="s">
        <v>192</v>
      </c>
      <c r="D1124" s="110">
        <v>247571.31</v>
      </c>
      <c r="E1124" s="110">
        <v>247861.31</v>
      </c>
      <c r="F1124" s="110">
        <v>248361.31</v>
      </c>
      <c r="I1124" s="110">
        <v>4861.42</v>
      </c>
      <c r="J1124" s="110">
        <v>14913.92</v>
      </c>
      <c r="K1124" s="110">
        <v>18499.72</v>
      </c>
    </row>
    <row r="1125" spans="1:12" x14ac:dyDescent="0.2">
      <c r="A1125" t="s">
        <v>30</v>
      </c>
      <c r="B1125" t="s">
        <v>104</v>
      </c>
      <c r="C1125" t="s">
        <v>193</v>
      </c>
      <c r="D1125" s="110">
        <v>280051.25</v>
      </c>
      <c r="E1125" s="110">
        <v>284986.25</v>
      </c>
      <c r="I1125" s="110">
        <v>5436.41</v>
      </c>
      <c r="J1125" s="110">
        <v>11851.28</v>
      </c>
    </row>
    <row r="1126" spans="1:12" x14ac:dyDescent="0.2">
      <c r="A1126" t="s">
        <v>30</v>
      </c>
      <c r="B1126" t="s">
        <v>104</v>
      </c>
      <c r="C1126" t="s">
        <v>194</v>
      </c>
      <c r="D1126" s="110">
        <v>327721.88</v>
      </c>
      <c r="I1126" s="110">
        <v>2377.59</v>
      </c>
    </row>
    <row r="1127" spans="1:12" x14ac:dyDescent="0.2">
      <c r="A1127" t="s">
        <v>30</v>
      </c>
      <c r="B1127" t="s">
        <v>140</v>
      </c>
      <c r="C1127" t="s">
        <v>191</v>
      </c>
      <c r="D1127" s="110">
        <v>106236</v>
      </c>
      <c r="E1127" s="110">
        <v>106236</v>
      </c>
      <c r="F1127" s="110">
        <v>106236</v>
      </c>
      <c r="G1127" s="110">
        <v>106236</v>
      </c>
    </row>
    <row r="1128" spans="1:12" x14ac:dyDescent="0.2">
      <c r="A1128" t="s">
        <v>30</v>
      </c>
      <c r="B1128" t="s">
        <v>140</v>
      </c>
      <c r="C1128" t="s">
        <v>192</v>
      </c>
      <c r="D1128" s="110">
        <v>53118</v>
      </c>
      <c r="E1128" s="110">
        <v>53118</v>
      </c>
      <c r="F1128" s="110">
        <v>53118</v>
      </c>
    </row>
    <row r="1129" spans="1:12" x14ac:dyDescent="0.2">
      <c r="A1129" t="s">
        <v>30</v>
      </c>
      <c r="B1129" t="s">
        <v>140</v>
      </c>
      <c r="C1129" t="s">
        <v>193</v>
      </c>
      <c r="E1129" s="110">
        <v>106236</v>
      </c>
    </row>
    <row r="1130" spans="1:12" x14ac:dyDescent="0.2">
      <c r="A1130" t="s">
        <v>30</v>
      </c>
      <c r="B1130" t="s">
        <v>140</v>
      </c>
      <c r="C1130" t="s">
        <v>194</v>
      </c>
      <c r="D1130" s="110">
        <v>53118</v>
      </c>
    </row>
    <row r="1131" spans="1:12" x14ac:dyDescent="0.2">
      <c r="A1131" t="s">
        <v>30</v>
      </c>
      <c r="B1131" t="s">
        <v>105</v>
      </c>
      <c r="C1131" t="s">
        <v>191</v>
      </c>
      <c r="D1131" s="110">
        <v>46045.88</v>
      </c>
      <c r="E1131" s="110">
        <v>46045.88</v>
      </c>
      <c r="F1131" s="110">
        <v>46045.88</v>
      </c>
      <c r="G1131" s="110">
        <v>46095.88</v>
      </c>
      <c r="I1131" s="110">
        <v>8169.79</v>
      </c>
      <c r="J1131" s="110">
        <v>17590.84</v>
      </c>
      <c r="K1131" s="110">
        <v>23167.29</v>
      </c>
      <c r="L1131" s="110">
        <v>25242.69</v>
      </c>
    </row>
    <row r="1132" spans="1:12" x14ac:dyDescent="0.2">
      <c r="A1132" t="s">
        <v>30</v>
      </c>
      <c r="B1132" t="s">
        <v>105</v>
      </c>
      <c r="C1132" t="s">
        <v>192</v>
      </c>
      <c r="D1132" s="110">
        <v>49996</v>
      </c>
      <c r="E1132" s="110">
        <v>49996</v>
      </c>
      <c r="F1132" s="110">
        <v>49996</v>
      </c>
      <c r="I1132" s="110">
        <v>12837.7</v>
      </c>
      <c r="J1132" s="110">
        <v>21842.97</v>
      </c>
      <c r="K1132" s="110">
        <v>23413.03</v>
      </c>
    </row>
    <row r="1133" spans="1:12" x14ac:dyDescent="0.2">
      <c r="A1133" t="s">
        <v>30</v>
      </c>
      <c r="B1133" t="s">
        <v>105</v>
      </c>
      <c r="C1133" t="s">
        <v>193</v>
      </c>
      <c r="D1133" s="110">
        <v>45701.27</v>
      </c>
      <c r="E1133" s="110">
        <v>45701.27</v>
      </c>
      <c r="I1133" s="110">
        <v>10120.870000000001</v>
      </c>
      <c r="J1133" s="110">
        <v>18119.07</v>
      </c>
    </row>
    <row r="1134" spans="1:12" x14ac:dyDescent="0.2">
      <c r="A1134" t="s">
        <v>30</v>
      </c>
      <c r="B1134" t="s">
        <v>105</v>
      </c>
      <c r="C1134" t="s">
        <v>194</v>
      </c>
      <c r="D1134" s="110">
        <v>52828.75</v>
      </c>
      <c r="I1134" s="110">
        <v>10959.67</v>
      </c>
    </row>
    <row r="1135" spans="1:12" x14ac:dyDescent="0.2">
      <c r="A1135" t="s">
        <v>30</v>
      </c>
      <c r="B1135" t="s">
        <v>111</v>
      </c>
      <c r="C1135" t="s">
        <v>191</v>
      </c>
      <c r="D1135" s="110">
        <v>1331</v>
      </c>
      <c r="E1135" s="110">
        <v>1281</v>
      </c>
      <c r="F1135" s="110">
        <v>1281</v>
      </c>
      <c r="G1135" s="110">
        <v>1281</v>
      </c>
      <c r="I1135" s="110">
        <v>63</v>
      </c>
      <c r="J1135" s="110">
        <v>63</v>
      </c>
      <c r="K1135" s="110">
        <v>331</v>
      </c>
      <c r="L1135" s="110">
        <v>331</v>
      </c>
    </row>
    <row r="1136" spans="1:12" x14ac:dyDescent="0.2">
      <c r="A1136" t="s">
        <v>30</v>
      </c>
      <c r="B1136" t="s">
        <v>111</v>
      </c>
      <c r="C1136" t="s">
        <v>192</v>
      </c>
      <c r="D1136" s="110">
        <v>107</v>
      </c>
      <c r="E1136" s="110">
        <v>107</v>
      </c>
      <c r="F1136" s="110">
        <v>107</v>
      </c>
      <c r="I1136" s="110">
        <v>7</v>
      </c>
      <c r="J1136" s="110">
        <v>7</v>
      </c>
      <c r="K1136" s="110">
        <v>7</v>
      </c>
    </row>
    <row r="1137" spans="1:12" x14ac:dyDescent="0.2">
      <c r="A1137" t="s">
        <v>30</v>
      </c>
      <c r="B1137" t="s">
        <v>111</v>
      </c>
      <c r="C1137" t="s">
        <v>193</v>
      </c>
      <c r="D1137" s="110">
        <v>1080</v>
      </c>
      <c r="E1137" s="110">
        <v>1080</v>
      </c>
      <c r="J1137" s="110">
        <v>238</v>
      </c>
    </row>
    <row r="1138" spans="1:12" x14ac:dyDescent="0.2">
      <c r="A1138" t="s">
        <v>30</v>
      </c>
      <c r="B1138" t="s">
        <v>111</v>
      </c>
      <c r="C1138" t="s">
        <v>194</v>
      </c>
      <c r="D1138" s="110">
        <v>815.5</v>
      </c>
      <c r="I1138" s="110">
        <v>141.5</v>
      </c>
    </row>
    <row r="1139" spans="1:12" x14ac:dyDescent="0.2">
      <c r="A1139" t="s">
        <v>30</v>
      </c>
      <c r="B1139" t="s">
        <v>109</v>
      </c>
      <c r="C1139" t="s">
        <v>191</v>
      </c>
      <c r="D1139" s="110">
        <v>17684</v>
      </c>
      <c r="E1139" s="110">
        <v>17684</v>
      </c>
      <c r="F1139" s="110">
        <v>17684</v>
      </c>
      <c r="G1139" s="110">
        <v>17684</v>
      </c>
      <c r="I1139" s="110">
        <v>5446.85</v>
      </c>
      <c r="J1139" s="110">
        <v>8967.25</v>
      </c>
      <c r="K1139" s="110">
        <v>10834.5</v>
      </c>
      <c r="L1139" s="110">
        <v>11804.75</v>
      </c>
    </row>
    <row r="1140" spans="1:12" x14ac:dyDescent="0.2">
      <c r="A1140" t="s">
        <v>30</v>
      </c>
      <c r="B1140" t="s">
        <v>109</v>
      </c>
      <c r="C1140" t="s">
        <v>192</v>
      </c>
      <c r="D1140" s="110">
        <v>21461.05</v>
      </c>
      <c r="E1140" s="110">
        <v>21411.05</v>
      </c>
      <c r="F1140" s="110">
        <v>21411.05</v>
      </c>
      <c r="I1140" s="110">
        <v>5466.55</v>
      </c>
      <c r="J1140" s="110">
        <v>8712.0499999999993</v>
      </c>
      <c r="K1140" s="110">
        <v>11243.3</v>
      </c>
    </row>
    <row r="1141" spans="1:12" x14ac:dyDescent="0.2">
      <c r="A1141" t="s">
        <v>30</v>
      </c>
      <c r="B1141" t="s">
        <v>109</v>
      </c>
      <c r="C1141" t="s">
        <v>193</v>
      </c>
      <c r="D1141" s="110">
        <v>28239.85</v>
      </c>
      <c r="E1141" s="110">
        <v>28239.85</v>
      </c>
      <c r="I1141" s="110">
        <v>8197.35</v>
      </c>
      <c r="J1141" s="110">
        <v>14575.65</v>
      </c>
    </row>
    <row r="1142" spans="1:12" x14ac:dyDescent="0.2">
      <c r="A1142" t="s">
        <v>30</v>
      </c>
      <c r="B1142" t="s">
        <v>109</v>
      </c>
      <c r="C1142" t="s">
        <v>194</v>
      </c>
      <c r="D1142" s="110">
        <v>23330.5</v>
      </c>
      <c r="I1142" s="110">
        <v>5204.8599999999997</v>
      </c>
    </row>
    <row r="1143" spans="1:12" x14ac:dyDescent="0.2">
      <c r="A1143" t="s">
        <v>30</v>
      </c>
      <c r="B1143" t="s">
        <v>106</v>
      </c>
      <c r="C1143" t="s">
        <v>191</v>
      </c>
      <c r="D1143" s="110">
        <v>14350</v>
      </c>
      <c r="E1143" s="110">
        <v>14350</v>
      </c>
      <c r="F1143" s="110">
        <v>14350</v>
      </c>
      <c r="G1143" s="110">
        <v>14350</v>
      </c>
      <c r="I1143" s="110">
        <v>12350</v>
      </c>
      <c r="J1143" s="110">
        <v>12350</v>
      </c>
      <c r="K1143" s="110">
        <v>12350</v>
      </c>
      <c r="L1143" s="110">
        <v>12350</v>
      </c>
    </row>
    <row r="1144" spans="1:12" x14ac:dyDescent="0.2">
      <c r="A1144" t="s">
        <v>30</v>
      </c>
      <c r="B1144" t="s">
        <v>106</v>
      </c>
      <c r="C1144" t="s">
        <v>192</v>
      </c>
      <c r="D1144" s="110">
        <v>16579</v>
      </c>
      <c r="E1144" s="110">
        <v>16579</v>
      </c>
      <c r="F1144" s="110">
        <v>16579</v>
      </c>
      <c r="I1144" s="110">
        <v>13024</v>
      </c>
      <c r="J1144" s="110">
        <v>14979</v>
      </c>
      <c r="K1144" s="110">
        <v>14979</v>
      </c>
    </row>
    <row r="1145" spans="1:12" x14ac:dyDescent="0.2">
      <c r="A1145" t="s">
        <v>30</v>
      </c>
      <c r="B1145" t="s">
        <v>106</v>
      </c>
      <c r="C1145" t="s">
        <v>193</v>
      </c>
      <c r="D1145" s="110">
        <v>14096</v>
      </c>
      <c r="E1145" s="110">
        <v>14496</v>
      </c>
      <c r="I1145" s="110">
        <v>14096</v>
      </c>
      <c r="J1145" s="110">
        <v>14496</v>
      </c>
    </row>
    <row r="1146" spans="1:12" x14ac:dyDescent="0.2">
      <c r="A1146" t="s">
        <v>30</v>
      </c>
      <c r="B1146" t="s">
        <v>106</v>
      </c>
      <c r="C1146" t="s">
        <v>194</v>
      </c>
      <c r="D1146" s="110">
        <v>16320.5</v>
      </c>
      <c r="I1146" s="110">
        <v>16720.5</v>
      </c>
    </row>
    <row r="1147" spans="1:12" x14ac:dyDescent="0.2">
      <c r="A1147" t="s">
        <v>30</v>
      </c>
      <c r="B1147" t="s">
        <v>107</v>
      </c>
      <c r="C1147" t="s">
        <v>191</v>
      </c>
      <c r="D1147" s="110">
        <v>18117.82</v>
      </c>
      <c r="E1147" s="110">
        <v>18117.82</v>
      </c>
      <c r="F1147" s="110">
        <v>18117.82</v>
      </c>
      <c r="G1147" s="110">
        <v>18117.82</v>
      </c>
      <c r="I1147" s="110">
        <v>18107.82</v>
      </c>
      <c r="J1147" s="110">
        <v>18107.82</v>
      </c>
      <c r="K1147" s="110">
        <v>18107.82</v>
      </c>
      <c r="L1147" s="110">
        <v>18107.82</v>
      </c>
    </row>
    <row r="1148" spans="1:12" x14ac:dyDescent="0.2">
      <c r="A1148" t="s">
        <v>30</v>
      </c>
      <c r="B1148" t="s">
        <v>107</v>
      </c>
      <c r="C1148" t="s">
        <v>192</v>
      </c>
      <c r="D1148" s="110">
        <v>13804.4</v>
      </c>
      <c r="E1148" s="110">
        <v>13804.4</v>
      </c>
      <c r="F1148" s="110">
        <v>13804.4</v>
      </c>
      <c r="I1148" s="110">
        <v>13032.4</v>
      </c>
      <c r="J1148" s="110">
        <v>13434.4</v>
      </c>
      <c r="K1148" s="110">
        <v>13434.4</v>
      </c>
    </row>
    <row r="1149" spans="1:12" x14ac:dyDescent="0.2">
      <c r="A1149" t="s">
        <v>30</v>
      </c>
      <c r="B1149" t="s">
        <v>107</v>
      </c>
      <c r="C1149" t="s">
        <v>193</v>
      </c>
      <c r="D1149" s="110">
        <v>19641</v>
      </c>
      <c r="E1149" s="110">
        <v>19641</v>
      </c>
      <c r="I1149" s="110">
        <v>19641</v>
      </c>
      <c r="J1149" s="110">
        <v>19641</v>
      </c>
    </row>
    <row r="1150" spans="1:12" x14ac:dyDescent="0.2">
      <c r="A1150" t="s">
        <v>30</v>
      </c>
      <c r="B1150" t="s">
        <v>107</v>
      </c>
      <c r="C1150" t="s">
        <v>194</v>
      </c>
      <c r="D1150" s="110">
        <v>19993</v>
      </c>
      <c r="I1150" s="110">
        <v>19993</v>
      </c>
    </row>
    <row r="1151" spans="1:12" x14ac:dyDescent="0.2">
      <c r="A1151" t="s">
        <v>30</v>
      </c>
      <c r="B1151" t="s">
        <v>108</v>
      </c>
      <c r="C1151" t="s">
        <v>191</v>
      </c>
      <c r="D1151" s="110">
        <v>4453</v>
      </c>
      <c r="E1151" s="110">
        <v>4453</v>
      </c>
      <c r="F1151" s="110">
        <v>4453</v>
      </c>
      <c r="G1151" s="110">
        <v>4453</v>
      </c>
      <c r="I1151" s="110">
        <v>4053</v>
      </c>
      <c r="J1151" s="110">
        <v>4053</v>
      </c>
      <c r="K1151" s="110">
        <v>4053</v>
      </c>
      <c r="L1151" s="110">
        <v>4053</v>
      </c>
    </row>
    <row r="1152" spans="1:12" x14ac:dyDescent="0.2">
      <c r="A1152" t="s">
        <v>30</v>
      </c>
      <c r="B1152" t="s">
        <v>108</v>
      </c>
      <c r="C1152" t="s">
        <v>192</v>
      </c>
      <c r="D1152" s="110">
        <v>6574</v>
      </c>
      <c r="E1152" s="110">
        <v>6574</v>
      </c>
      <c r="F1152" s="110">
        <v>6574</v>
      </c>
      <c r="I1152" s="110">
        <v>6343</v>
      </c>
      <c r="J1152" s="110">
        <v>6574</v>
      </c>
      <c r="K1152" s="110">
        <v>6574</v>
      </c>
    </row>
    <row r="1153" spans="1:12" x14ac:dyDescent="0.2">
      <c r="A1153" t="s">
        <v>30</v>
      </c>
      <c r="B1153" t="s">
        <v>108</v>
      </c>
      <c r="C1153" t="s">
        <v>193</v>
      </c>
      <c r="D1153" s="110">
        <v>8433</v>
      </c>
      <c r="E1153" s="110">
        <v>8433</v>
      </c>
      <c r="I1153" s="110">
        <v>8433</v>
      </c>
      <c r="J1153" s="110">
        <v>8433</v>
      </c>
    </row>
    <row r="1154" spans="1:12" x14ac:dyDescent="0.2">
      <c r="A1154" t="s">
        <v>30</v>
      </c>
      <c r="B1154" t="s">
        <v>108</v>
      </c>
      <c r="C1154" t="s">
        <v>194</v>
      </c>
      <c r="D1154" s="110">
        <v>5422</v>
      </c>
      <c r="I1154" s="110">
        <v>5422</v>
      </c>
    </row>
    <row r="1155" spans="1:12" x14ac:dyDescent="0.2">
      <c r="A1155" t="s">
        <v>30</v>
      </c>
      <c r="B1155" t="s">
        <v>70</v>
      </c>
      <c r="C1155" t="s">
        <v>191</v>
      </c>
      <c r="D1155" s="110">
        <v>18596.5</v>
      </c>
      <c r="E1155" s="110">
        <v>18596.5</v>
      </c>
      <c r="F1155" s="110">
        <v>18596.5</v>
      </c>
      <c r="G1155" s="110">
        <v>18596.5</v>
      </c>
      <c r="I1155" s="110">
        <v>16381.5</v>
      </c>
      <c r="J1155" s="110">
        <v>16781.5</v>
      </c>
      <c r="K1155" s="110">
        <v>16889.5</v>
      </c>
      <c r="L1155" s="110">
        <v>16889.5</v>
      </c>
    </row>
    <row r="1156" spans="1:12" x14ac:dyDescent="0.2">
      <c r="A1156" t="s">
        <v>30</v>
      </c>
      <c r="B1156" t="s">
        <v>70</v>
      </c>
      <c r="C1156" t="s">
        <v>192</v>
      </c>
      <c r="D1156" s="110">
        <v>21424</v>
      </c>
      <c r="E1156" s="110">
        <v>21016</v>
      </c>
      <c r="F1156" s="110">
        <v>21016</v>
      </c>
      <c r="I1156" s="110">
        <v>15781</v>
      </c>
      <c r="J1156" s="110">
        <v>16552</v>
      </c>
      <c r="K1156" s="110">
        <v>16577</v>
      </c>
    </row>
    <row r="1157" spans="1:12" x14ac:dyDescent="0.2">
      <c r="A1157" t="s">
        <v>30</v>
      </c>
      <c r="B1157" t="s">
        <v>70</v>
      </c>
      <c r="C1157" t="s">
        <v>193</v>
      </c>
      <c r="D1157" s="110">
        <v>12725.5</v>
      </c>
      <c r="E1157" s="110">
        <v>12725.5</v>
      </c>
      <c r="I1157" s="110">
        <v>9631</v>
      </c>
      <c r="J1157" s="110">
        <v>9941</v>
      </c>
    </row>
    <row r="1158" spans="1:12" x14ac:dyDescent="0.2">
      <c r="A1158" t="s">
        <v>30</v>
      </c>
      <c r="B1158" t="s">
        <v>70</v>
      </c>
      <c r="C1158" t="s">
        <v>194</v>
      </c>
      <c r="D1158" s="110">
        <v>15044</v>
      </c>
      <c r="I1158" s="110">
        <v>12742</v>
      </c>
    </row>
    <row r="1159" spans="1:12" x14ac:dyDescent="0.2">
      <c r="A1159" t="s">
        <v>30</v>
      </c>
      <c r="B1159" t="s">
        <v>110</v>
      </c>
      <c r="C1159" t="s">
        <v>191</v>
      </c>
      <c r="D1159" s="110">
        <v>86835.95</v>
      </c>
      <c r="E1159" s="110">
        <v>86692.2</v>
      </c>
      <c r="F1159" s="110">
        <v>86858.2</v>
      </c>
      <c r="G1159" s="110">
        <v>86918.2</v>
      </c>
      <c r="I1159" s="110">
        <v>41406.639999999999</v>
      </c>
      <c r="J1159" s="110">
        <v>69777.88</v>
      </c>
      <c r="K1159" s="110">
        <v>73473.210000000006</v>
      </c>
      <c r="L1159" s="110">
        <v>76017.210000000006</v>
      </c>
    </row>
    <row r="1160" spans="1:12" x14ac:dyDescent="0.2">
      <c r="A1160" t="s">
        <v>30</v>
      </c>
      <c r="B1160" t="s">
        <v>110</v>
      </c>
      <c r="C1160" t="s">
        <v>192</v>
      </c>
      <c r="D1160" s="110">
        <v>133664</v>
      </c>
      <c r="E1160" s="110">
        <v>133726.25</v>
      </c>
      <c r="F1160" s="110">
        <v>133254.25</v>
      </c>
      <c r="I1160" s="110">
        <v>62653.67</v>
      </c>
      <c r="J1160" s="110">
        <v>105459.74</v>
      </c>
      <c r="K1160" s="110">
        <v>111576.58</v>
      </c>
    </row>
    <row r="1161" spans="1:12" x14ac:dyDescent="0.2">
      <c r="A1161" t="s">
        <v>30</v>
      </c>
      <c r="B1161" t="s">
        <v>110</v>
      </c>
      <c r="C1161" t="s">
        <v>193</v>
      </c>
      <c r="D1161" s="110">
        <v>135663.4</v>
      </c>
      <c r="E1161" s="110">
        <v>135106.4</v>
      </c>
      <c r="I1161" s="110">
        <v>65240.24</v>
      </c>
      <c r="J1161" s="110">
        <v>104805.58</v>
      </c>
    </row>
    <row r="1162" spans="1:12" x14ac:dyDescent="0.2">
      <c r="A1162" t="s">
        <v>30</v>
      </c>
      <c r="B1162" t="s">
        <v>110</v>
      </c>
      <c r="C1162" t="s">
        <v>194</v>
      </c>
      <c r="D1162" s="110">
        <v>141502.25</v>
      </c>
      <c r="I1162" s="110">
        <v>69045.240000000005</v>
      </c>
    </row>
    <row r="1163" spans="1:12" x14ac:dyDescent="0.2">
      <c r="A1163" t="s">
        <v>31</v>
      </c>
      <c r="B1163" t="s">
        <v>104</v>
      </c>
      <c r="C1163" t="s">
        <v>191</v>
      </c>
      <c r="D1163" s="110">
        <v>369911.31</v>
      </c>
      <c r="E1163" s="110">
        <v>365838.31</v>
      </c>
      <c r="F1163" s="110">
        <v>352525.6</v>
      </c>
      <c r="G1163" s="110">
        <v>349456.91</v>
      </c>
      <c r="I1163" s="110">
        <v>17042.060000000001</v>
      </c>
      <c r="J1163" s="110">
        <v>27391.19</v>
      </c>
      <c r="K1163" s="110">
        <v>33943.08</v>
      </c>
      <c r="L1163" s="110">
        <v>40126.370000000003</v>
      </c>
    </row>
    <row r="1164" spans="1:12" x14ac:dyDescent="0.2">
      <c r="A1164" t="s">
        <v>31</v>
      </c>
      <c r="B1164" t="s">
        <v>104</v>
      </c>
      <c r="C1164" t="s">
        <v>192</v>
      </c>
      <c r="D1164" s="110">
        <v>437560.07</v>
      </c>
      <c r="E1164" s="110">
        <v>420312.07</v>
      </c>
      <c r="F1164" s="110">
        <v>415505.29</v>
      </c>
      <c r="I1164" s="110">
        <v>14789.46</v>
      </c>
      <c r="J1164" s="110">
        <v>21358.23</v>
      </c>
      <c r="K1164" s="110">
        <v>29078.3</v>
      </c>
    </row>
    <row r="1165" spans="1:12" x14ac:dyDescent="0.2">
      <c r="A1165" t="s">
        <v>31</v>
      </c>
      <c r="B1165" t="s">
        <v>104</v>
      </c>
      <c r="C1165" t="s">
        <v>193</v>
      </c>
      <c r="D1165" s="110">
        <v>754349.1</v>
      </c>
      <c r="E1165" s="110">
        <v>750047.1</v>
      </c>
      <c r="I1165" s="110">
        <v>15488.97</v>
      </c>
      <c r="J1165" s="110">
        <v>33309.07</v>
      </c>
    </row>
    <row r="1166" spans="1:12" x14ac:dyDescent="0.2">
      <c r="A1166" t="s">
        <v>31</v>
      </c>
      <c r="B1166" t="s">
        <v>104</v>
      </c>
      <c r="C1166" t="s">
        <v>194</v>
      </c>
      <c r="D1166" s="110">
        <v>293206.88</v>
      </c>
      <c r="I1166" s="110">
        <v>10200.049999999999</v>
      </c>
    </row>
    <row r="1167" spans="1:12" x14ac:dyDescent="0.2">
      <c r="A1167" t="s">
        <v>31</v>
      </c>
      <c r="B1167" t="s">
        <v>140</v>
      </c>
      <c r="C1167" t="s">
        <v>191</v>
      </c>
      <c r="D1167" s="110">
        <v>106564</v>
      </c>
      <c r="E1167" s="110">
        <v>106564</v>
      </c>
      <c r="F1167" s="110">
        <v>106514</v>
      </c>
      <c r="G1167" s="110">
        <v>106514</v>
      </c>
      <c r="I1167" s="110">
        <v>9</v>
      </c>
      <c r="J1167" s="110">
        <v>9</v>
      </c>
      <c r="K1167" s="110">
        <v>9</v>
      </c>
      <c r="L1167" s="110">
        <v>9</v>
      </c>
    </row>
    <row r="1168" spans="1:12" x14ac:dyDescent="0.2">
      <c r="A1168" t="s">
        <v>31</v>
      </c>
      <c r="B1168" t="s">
        <v>140</v>
      </c>
      <c r="C1168" t="s">
        <v>192</v>
      </c>
      <c r="D1168" s="110">
        <v>106830.98</v>
      </c>
      <c r="E1168" s="110">
        <v>106730.98</v>
      </c>
      <c r="F1168" s="110">
        <v>106730.98</v>
      </c>
      <c r="I1168" s="110">
        <v>54.98</v>
      </c>
      <c r="J1168" s="110">
        <v>54.98</v>
      </c>
      <c r="K1168" s="110">
        <v>54.98</v>
      </c>
    </row>
    <row r="1169" spans="1:12" x14ac:dyDescent="0.2">
      <c r="A1169" t="s">
        <v>31</v>
      </c>
      <c r="B1169" t="s">
        <v>140</v>
      </c>
      <c r="C1169" t="s">
        <v>193</v>
      </c>
      <c r="D1169" s="110">
        <v>423569</v>
      </c>
      <c r="E1169" s="110">
        <v>423569</v>
      </c>
      <c r="I1169" s="110">
        <v>16</v>
      </c>
      <c r="J1169" s="110">
        <v>16</v>
      </c>
    </row>
    <row r="1170" spans="1:12" x14ac:dyDescent="0.2">
      <c r="A1170" t="s">
        <v>31</v>
      </c>
      <c r="B1170" t="s">
        <v>140</v>
      </c>
      <c r="C1170" t="s">
        <v>194</v>
      </c>
      <c r="D1170" s="110">
        <v>1871.5</v>
      </c>
      <c r="I1170" s="110">
        <v>100</v>
      </c>
    </row>
    <row r="1171" spans="1:12" x14ac:dyDescent="0.2">
      <c r="A1171" t="s">
        <v>31</v>
      </c>
      <c r="B1171" t="s">
        <v>105</v>
      </c>
      <c r="C1171" t="s">
        <v>191</v>
      </c>
      <c r="D1171" s="110">
        <v>179609.37</v>
      </c>
      <c r="E1171" s="110">
        <v>177188.67</v>
      </c>
      <c r="F1171" s="110">
        <v>160034.32999999999</v>
      </c>
      <c r="G1171" s="110">
        <v>159919.9</v>
      </c>
      <c r="I1171" s="110">
        <v>51760.87</v>
      </c>
      <c r="J1171" s="110">
        <v>75049.38</v>
      </c>
      <c r="K1171" s="110">
        <v>85682.75</v>
      </c>
      <c r="L1171" s="110">
        <v>90570.89</v>
      </c>
    </row>
    <row r="1172" spans="1:12" x14ac:dyDescent="0.2">
      <c r="A1172" t="s">
        <v>31</v>
      </c>
      <c r="B1172" t="s">
        <v>105</v>
      </c>
      <c r="C1172" t="s">
        <v>192</v>
      </c>
      <c r="D1172" s="110">
        <v>204389.27</v>
      </c>
      <c r="E1172" s="110">
        <v>180727.73</v>
      </c>
      <c r="F1172" s="110">
        <v>179460.99</v>
      </c>
      <c r="I1172" s="110">
        <v>63561.86</v>
      </c>
      <c r="J1172" s="110">
        <v>86460.67</v>
      </c>
      <c r="K1172" s="110">
        <v>94907.31</v>
      </c>
    </row>
    <row r="1173" spans="1:12" x14ac:dyDescent="0.2">
      <c r="A1173" t="s">
        <v>31</v>
      </c>
      <c r="B1173" t="s">
        <v>105</v>
      </c>
      <c r="C1173" t="s">
        <v>193</v>
      </c>
      <c r="D1173" s="110">
        <v>198341.3</v>
      </c>
      <c r="E1173" s="110">
        <v>197194.61</v>
      </c>
      <c r="I1173" s="110">
        <v>63121.29</v>
      </c>
      <c r="J1173" s="110">
        <v>88021.4</v>
      </c>
    </row>
    <row r="1174" spans="1:12" x14ac:dyDescent="0.2">
      <c r="A1174" t="s">
        <v>31</v>
      </c>
      <c r="B1174" t="s">
        <v>105</v>
      </c>
      <c r="C1174" t="s">
        <v>194</v>
      </c>
      <c r="D1174" s="110">
        <v>188752.03</v>
      </c>
      <c r="I1174" s="110">
        <v>63736.85</v>
      </c>
    </row>
    <row r="1175" spans="1:12" x14ac:dyDescent="0.2">
      <c r="A1175" t="s">
        <v>31</v>
      </c>
      <c r="B1175" t="s">
        <v>111</v>
      </c>
      <c r="C1175" t="s">
        <v>191</v>
      </c>
      <c r="D1175" s="110">
        <v>30682.400000000001</v>
      </c>
      <c r="E1175" s="110">
        <v>30602.400000000001</v>
      </c>
      <c r="F1175" s="110">
        <v>30555.9</v>
      </c>
      <c r="G1175" s="110">
        <v>30555.9</v>
      </c>
      <c r="I1175" s="110">
        <v>4962.08</v>
      </c>
      <c r="J1175" s="110">
        <v>7828.03</v>
      </c>
      <c r="K1175" s="110">
        <v>10603.82</v>
      </c>
      <c r="L1175" s="110">
        <v>11987.68</v>
      </c>
    </row>
    <row r="1176" spans="1:12" x14ac:dyDescent="0.2">
      <c r="A1176" t="s">
        <v>31</v>
      </c>
      <c r="B1176" t="s">
        <v>111</v>
      </c>
      <c r="C1176" t="s">
        <v>192</v>
      </c>
      <c r="D1176" s="110">
        <v>23524</v>
      </c>
      <c r="E1176" s="110">
        <v>23524</v>
      </c>
      <c r="F1176" s="110">
        <v>23524</v>
      </c>
      <c r="I1176" s="110">
        <v>4068.32</v>
      </c>
      <c r="J1176" s="110">
        <v>6255.89</v>
      </c>
      <c r="K1176" s="110">
        <v>7114.72</v>
      </c>
    </row>
    <row r="1177" spans="1:12" x14ac:dyDescent="0.2">
      <c r="A1177" t="s">
        <v>31</v>
      </c>
      <c r="B1177" t="s">
        <v>111</v>
      </c>
      <c r="C1177" t="s">
        <v>193</v>
      </c>
      <c r="D1177" s="110">
        <v>42750</v>
      </c>
      <c r="E1177" s="110">
        <v>42648.5</v>
      </c>
      <c r="I1177" s="110">
        <v>5362.12</v>
      </c>
      <c r="J1177" s="110">
        <v>8491.41</v>
      </c>
    </row>
    <row r="1178" spans="1:12" x14ac:dyDescent="0.2">
      <c r="A1178" t="s">
        <v>31</v>
      </c>
      <c r="B1178" t="s">
        <v>111</v>
      </c>
      <c r="C1178" t="s">
        <v>194</v>
      </c>
      <c r="D1178" s="110">
        <v>37272</v>
      </c>
      <c r="I1178" s="110">
        <v>7504.73</v>
      </c>
    </row>
    <row r="1179" spans="1:12" x14ac:dyDescent="0.2">
      <c r="A1179" t="s">
        <v>31</v>
      </c>
      <c r="B1179" t="s">
        <v>109</v>
      </c>
      <c r="C1179" t="s">
        <v>191</v>
      </c>
      <c r="D1179" s="110">
        <v>183366.24</v>
      </c>
      <c r="E1179" s="110">
        <v>181274.38</v>
      </c>
      <c r="F1179" s="110">
        <v>171553.1</v>
      </c>
      <c r="G1179" s="110">
        <v>171467.09</v>
      </c>
      <c r="I1179" s="110">
        <v>62915.78</v>
      </c>
      <c r="J1179" s="110">
        <v>94203.01</v>
      </c>
      <c r="K1179" s="110">
        <v>105694.66</v>
      </c>
      <c r="L1179" s="110">
        <v>111029.52</v>
      </c>
    </row>
    <row r="1180" spans="1:12" x14ac:dyDescent="0.2">
      <c r="A1180" t="s">
        <v>31</v>
      </c>
      <c r="B1180" t="s">
        <v>109</v>
      </c>
      <c r="C1180" t="s">
        <v>192</v>
      </c>
      <c r="D1180" s="110">
        <v>224021.53</v>
      </c>
      <c r="E1180" s="110">
        <v>213142.27</v>
      </c>
      <c r="F1180" s="110">
        <v>214428.03</v>
      </c>
      <c r="I1180" s="110">
        <v>96645.61</v>
      </c>
      <c r="J1180" s="110">
        <v>132064.51999999999</v>
      </c>
      <c r="K1180" s="110">
        <v>146453.84</v>
      </c>
    </row>
    <row r="1181" spans="1:12" x14ac:dyDescent="0.2">
      <c r="A1181" t="s">
        <v>31</v>
      </c>
      <c r="B1181" t="s">
        <v>109</v>
      </c>
      <c r="C1181" t="s">
        <v>193</v>
      </c>
      <c r="D1181" s="110">
        <v>217819.95</v>
      </c>
      <c r="E1181" s="110">
        <v>216896.18</v>
      </c>
      <c r="I1181" s="110">
        <v>91622.56</v>
      </c>
      <c r="J1181" s="110">
        <v>127151.79</v>
      </c>
    </row>
    <row r="1182" spans="1:12" x14ac:dyDescent="0.2">
      <c r="A1182" t="s">
        <v>31</v>
      </c>
      <c r="B1182" t="s">
        <v>109</v>
      </c>
      <c r="C1182" t="s">
        <v>194</v>
      </c>
      <c r="D1182" s="110">
        <v>204191.43</v>
      </c>
      <c r="I1182" s="110">
        <v>69068.62</v>
      </c>
    </row>
    <row r="1183" spans="1:12" x14ac:dyDescent="0.2">
      <c r="A1183" t="s">
        <v>31</v>
      </c>
      <c r="B1183" t="s">
        <v>106</v>
      </c>
      <c r="C1183" t="s">
        <v>191</v>
      </c>
      <c r="D1183" s="110">
        <v>135905.70000000001</v>
      </c>
      <c r="E1183" s="110">
        <v>134774.70000000001</v>
      </c>
      <c r="F1183" s="110">
        <v>134774.70000000001</v>
      </c>
      <c r="G1183" s="110">
        <v>134774.70000000001</v>
      </c>
      <c r="I1183" s="110">
        <v>122352.2</v>
      </c>
      <c r="J1183" s="110">
        <v>134394.70000000001</v>
      </c>
      <c r="K1183" s="110">
        <v>134394.70000000001</v>
      </c>
      <c r="L1183" s="110">
        <v>134394.70000000001</v>
      </c>
    </row>
    <row r="1184" spans="1:12" x14ac:dyDescent="0.2">
      <c r="A1184" t="s">
        <v>31</v>
      </c>
      <c r="B1184" t="s">
        <v>106</v>
      </c>
      <c r="C1184" t="s">
        <v>192</v>
      </c>
      <c r="D1184" s="110">
        <v>158763.46</v>
      </c>
      <c r="E1184" s="110">
        <v>158763.46</v>
      </c>
      <c r="F1184" s="110">
        <v>158368.46</v>
      </c>
      <c r="I1184" s="110">
        <v>150680</v>
      </c>
      <c r="J1184" s="110">
        <v>157868.46</v>
      </c>
      <c r="K1184" s="110">
        <v>157918.46</v>
      </c>
    </row>
    <row r="1185" spans="1:12" x14ac:dyDescent="0.2">
      <c r="A1185" t="s">
        <v>31</v>
      </c>
      <c r="B1185" t="s">
        <v>106</v>
      </c>
      <c r="C1185" t="s">
        <v>193</v>
      </c>
      <c r="D1185" s="110">
        <v>221008.64000000001</v>
      </c>
      <c r="E1185" s="110">
        <v>221397.64</v>
      </c>
      <c r="I1185" s="110">
        <v>204547.32</v>
      </c>
      <c r="J1185" s="110">
        <v>220669.31</v>
      </c>
    </row>
    <row r="1186" spans="1:12" x14ac:dyDescent="0.2">
      <c r="A1186" t="s">
        <v>31</v>
      </c>
      <c r="B1186" t="s">
        <v>106</v>
      </c>
      <c r="C1186" t="s">
        <v>194</v>
      </c>
      <c r="D1186" s="110">
        <v>170361</v>
      </c>
      <c r="I1186" s="110">
        <v>162448.53</v>
      </c>
    </row>
    <row r="1187" spans="1:12" x14ac:dyDescent="0.2">
      <c r="A1187" t="s">
        <v>31</v>
      </c>
      <c r="B1187" t="s">
        <v>107</v>
      </c>
      <c r="C1187" t="s">
        <v>191</v>
      </c>
      <c r="D1187" s="110">
        <v>157867.43</v>
      </c>
      <c r="E1187" s="110">
        <v>157867.43</v>
      </c>
      <c r="F1187" s="110">
        <v>157867.43</v>
      </c>
      <c r="G1187" s="110">
        <v>157867.43</v>
      </c>
      <c r="I1187" s="110">
        <v>157550.43</v>
      </c>
      <c r="J1187" s="110">
        <v>157550.43</v>
      </c>
      <c r="K1187" s="110">
        <v>157550.43</v>
      </c>
      <c r="L1187" s="110">
        <v>157550.43</v>
      </c>
    </row>
    <row r="1188" spans="1:12" x14ac:dyDescent="0.2">
      <c r="A1188" t="s">
        <v>31</v>
      </c>
      <c r="B1188" t="s">
        <v>107</v>
      </c>
      <c r="C1188" t="s">
        <v>192</v>
      </c>
      <c r="D1188" s="110">
        <v>162124.15</v>
      </c>
      <c r="E1188" s="110">
        <v>162074.15</v>
      </c>
      <c r="F1188" s="110">
        <v>162074.15</v>
      </c>
      <c r="I1188" s="110">
        <v>156189.15</v>
      </c>
      <c r="J1188" s="110">
        <v>161189.15</v>
      </c>
      <c r="K1188" s="110">
        <v>161189.15</v>
      </c>
    </row>
    <row r="1189" spans="1:12" x14ac:dyDescent="0.2">
      <c r="A1189" t="s">
        <v>31</v>
      </c>
      <c r="B1189" t="s">
        <v>107</v>
      </c>
      <c r="C1189" t="s">
        <v>193</v>
      </c>
      <c r="D1189" s="110">
        <v>156027.21</v>
      </c>
      <c r="E1189" s="110">
        <v>154742.21</v>
      </c>
      <c r="I1189" s="110">
        <v>149345.21</v>
      </c>
      <c r="J1189" s="110">
        <v>154690.21</v>
      </c>
    </row>
    <row r="1190" spans="1:12" x14ac:dyDescent="0.2">
      <c r="A1190" t="s">
        <v>31</v>
      </c>
      <c r="B1190" t="s">
        <v>107</v>
      </c>
      <c r="C1190" t="s">
        <v>194</v>
      </c>
      <c r="D1190" s="110">
        <v>164713.51</v>
      </c>
      <c r="I1190" s="110">
        <v>159522.18</v>
      </c>
    </row>
    <row r="1191" spans="1:12" x14ac:dyDescent="0.2">
      <c r="A1191" t="s">
        <v>31</v>
      </c>
      <c r="B1191" t="s">
        <v>108</v>
      </c>
      <c r="C1191" t="s">
        <v>191</v>
      </c>
      <c r="D1191" s="110">
        <v>73075</v>
      </c>
      <c r="E1191" s="110">
        <v>73075</v>
      </c>
      <c r="F1191" s="110">
        <v>73075</v>
      </c>
      <c r="G1191" s="110">
        <v>73075</v>
      </c>
      <c r="I1191" s="110">
        <v>71576</v>
      </c>
      <c r="J1191" s="110">
        <v>72444</v>
      </c>
      <c r="K1191" s="110">
        <v>73075</v>
      </c>
      <c r="L1191" s="110">
        <v>73075</v>
      </c>
    </row>
    <row r="1192" spans="1:12" x14ac:dyDescent="0.2">
      <c r="A1192" t="s">
        <v>31</v>
      </c>
      <c r="B1192" t="s">
        <v>108</v>
      </c>
      <c r="C1192" t="s">
        <v>192</v>
      </c>
      <c r="D1192" s="110">
        <v>77022.02</v>
      </c>
      <c r="E1192" s="110">
        <v>76626.02</v>
      </c>
      <c r="F1192" s="110">
        <v>76626.02</v>
      </c>
      <c r="I1192" s="110">
        <v>72385.02</v>
      </c>
      <c r="J1192" s="110">
        <v>76626.02</v>
      </c>
      <c r="K1192" s="110">
        <v>76626.02</v>
      </c>
    </row>
    <row r="1193" spans="1:12" x14ac:dyDescent="0.2">
      <c r="A1193" t="s">
        <v>31</v>
      </c>
      <c r="B1193" t="s">
        <v>108</v>
      </c>
      <c r="C1193" t="s">
        <v>193</v>
      </c>
      <c r="D1193" s="110">
        <v>91767</v>
      </c>
      <c r="E1193" s="110">
        <v>90251</v>
      </c>
      <c r="I1193" s="110">
        <v>87856</v>
      </c>
      <c r="J1193" s="110">
        <v>90151</v>
      </c>
    </row>
    <row r="1194" spans="1:12" x14ac:dyDescent="0.2">
      <c r="A1194" t="s">
        <v>31</v>
      </c>
      <c r="B1194" t="s">
        <v>108</v>
      </c>
      <c r="C1194" t="s">
        <v>194</v>
      </c>
      <c r="D1194" s="110">
        <v>81448.09</v>
      </c>
      <c r="I1194" s="110">
        <v>77623.09</v>
      </c>
    </row>
    <row r="1195" spans="1:12" x14ac:dyDescent="0.2">
      <c r="A1195" t="s">
        <v>31</v>
      </c>
      <c r="B1195" t="s">
        <v>70</v>
      </c>
      <c r="C1195" t="s">
        <v>191</v>
      </c>
      <c r="D1195" s="110">
        <v>79103.75</v>
      </c>
      <c r="E1195" s="110">
        <v>79103.75</v>
      </c>
      <c r="F1195" s="110">
        <v>79103.75</v>
      </c>
      <c r="G1195" s="110">
        <v>79103.75</v>
      </c>
      <c r="I1195" s="110">
        <v>73432.740000000005</v>
      </c>
      <c r="J1195" s="110">
        <v>78441.58</v>
      </c>
      <c r="K1195" s="110">
        <v>79129.88</v>
      </c>
      <c r="L1195" s="110">
        <v>79129.88</v>
      </c>
    </row>
    <row r="1196" spans="1:12" x14ac:dyDescent="0.2">
      <c r="A1196" t="s">
        <v>31</v>
      </c>
      <c r="B1196" t="s">
        <v>70</v>
      </c>
      <c r="C1196" t="s">
        <v>192</v>
      </c>
      <c r="D1196" s="110">
        <v>80235.12</v>
      </c>
      <c r="E1196" s="110">
        <v>79940.12</v>
      </c>
      <c r="F1196" s="110">
        <v>79940.12</v>
      </c>
      <c r="I1196" s="110">
        <v>74496.479999999996</v>
      </c>
      <c r="J1196" s="110">
        <v>78371.199999999997</v>
      </c>
      <c r="K1196" s="110">
        <v>79086.679999999993</v>
      </c>
    </row>
    <row r="1197" spans="1:12" x14ac:dyDescent="0.2">
      <c r="A1197" t="s">
        <v>31</v>
      </c>
      <c r="B1197" t="s">
        <v>70</v>
      </c>
      <c r="C1197" t="s">
        <v>193</v>
      </c>
      <c r="D1197" s="110">
        <v>96520.82</v>
      </c>
      <c r="E1197" s="110">
        <v>96520.82</v>
      </c>
      <c r="I1197" s="110">
        <v>89840.87</v>
      </c>
      <c r="J1197" s="110">
        <v>93659.91</v>
      </c>
    </row>
    <row r="1198" spans="1:12" x14ac:dyDescent="0.2">
      <c r="A1198" t="s">
        <v>31</v>
      </c>
      <c r="B1198" t="s">
        <v>70</v>
      </c>
      <c r="C1198" t="s">
        <v>194</v>
      </c>
      <c r="D1198" s="110">
        <v>89680.04</v>
      </c>
      <c r="I1198" s="110">
        <v>82866.740000000005</v>
      </c>
    </row>
    <row r="1199" spans="1:12" x14ac:dyDescent="0.2">
      <c r="A1199" t="s">
        <v>31</v>
      </c>
      <c r="B1199" t="s">
        <v>110</v>
      </c>
      <c r="C1199" t="s">
        <v>191</v>
      </c>
      <c r="D1199" s="110">
        <v>460173.4</v>
      </c>
      <c r="E1199" s="110">
        <v>451639.95</v>
      </c>
      <c r="F1199" s="110">
        <v>451324.45</v>
      </c>
      <c r="G1199" s="110">
        <v>451136.45</v>
      </c>
      <c r="I1199" s="110">
        <v>245494.63</v>
      </c>
      <c r="J1199" s="110">
        <v>388920.83</v>
      </c>
      <c r="K1199" s="110">
        <v>407570.54</v>
      </c>
      <c r="L1199" s="110">
        <v>414125.7</v>
      </c>
    </row>
    <row r="1200" spans="1:12" x14ac:dyDescent="0.2">
      <c r="A1200" t="s">
        <v>31</v>
      </c>
      <c r="B1200" t="s">
        <v>110</v>
      </c>
      <c r="C1200" t="s">
        <v>192</v>
      </c>
      <c r="D1200" s="110">
        <v>597806.07999999996</v>
      </c>
      <c r="E1200" s="110">
        <v>584220.48</v>
      </c>
      <c r="F1200" s="110">
        <v>583877.48</v>
      </c>
      <c r="I1200" s="110">
        <v>351767.52</v>
      </c>
      <c r="J1200" s="110">
        <v>517450.86</v>
      </c>
      <c r="K1200" s="110">
        <v>532473.89</v>
      </c>
    </row>
    <row r="1201" spans="1:12" x14ac:dyDescent="0.2">
      <c r="A1201" t="s">
        <v>31</v>
      </c>
      <c r="B1201" t="s">
        <v>110</v>
      </c>
      <c r="C1201" t="s">
        <v>193</v>
      </c>
      <c r="D1201" s="110">
        <v>583414.52</v>
      </c>
      <c r="E1201" s="110">
        <v>566180.27</v>
      </c>
      <c r="I1201" s="110">
        <v>319029.45</v>
      </c>
      <c r="J1201" s="110">
        <v>489613.68</v>
      </c>
    </row>
    <row r="1202" spans="1:12" x14ac:dyDescent="0.2">
      <c r="A1202" t="s">
        <v>31</v>
      </c>
      <c r="B1202" t="s">
        <v>110</v>
      </c>
      <c r="C1202" t="s">
        <v>194</v>
      </c>
      <c r="D1202" s="110">
        <v>467314.4</v>
      </c>
      <c r="I1202" s="110">
        <v>251274.27</v>
      </c>
    </row>
    <row r="1203" spans="1:12" x14ac:dyDescent="0.2">
      <c r="A1203" t="s">
        <v>32</v>
      </c>
      <c r="B1203" t="s">
        <v>104</v>
      </c>
      <c r="C1203" t="s">
        <v>191</v>
      </c>
      <c r="D1203" s="110">
        <v>190916.5</v>
      </c>
      <c r="E1203" s="110">
        <v>190716.5</v>
      </c>
      <c r="F1203" s="110">
        <v>190716.5</v>
      </c>
      <c r="G1203" s="110">
        <v>172553.74</v>
      </c>
      <c r="I1203" s="110">
        <v>1076.9100000000001</v>
      </c>
      <c r="J1203" s="110">
        <v>2788.88</v>
      </c>
      <c r="K1203" s="110">
        <v>5314.88</v>
      </c>
      <c r="L1203" s="110">
        <v>7195.77</v>
      </c>
    </row>
    <row r="1204" spans="1:12" x14ac:dyDescent="0.2">
      <c r="A1204" t="s">
        <v>32</v>
      </c>
      <c r="B1204" t="s">
        <v>104</v>
      </c>
      <c r="C1204" t="s">
        <v>192</v>
      </c>
      <c r="D1204" s="110">
        <v>405049.5</v>
      </c>
      <c r="E1204" s="110">
        <v>405049.5</v>
      </c>
      <c r="F1204" s="110">
        <v>396384.82</v>
      </c>
      <c r="I1204" s="110">
        <v>2143.73</v>
      </c>
      <c r="J1204" s="110">
        <v>5310.28</v>
      </c>
      <c r="K1204" s="110">
        <v>6621.17</v>
      </c>
    </row>
    <row r="1205" spans="1:12" x14ac:dyDescent="0.2">
      <c r="A1205" t="s">
        <v>32</v>
      </c>
      <c r="B1205" t="s">
        <v>104</v>
      </c>
      <c r="C1205" t="s">
        <v>193</v>
      </c>
      <c r="D1205" s="110">
        <v>215056</v>
      </c>
      <c r="E1205" s="110">
        <v>204556</v>
      </c>
      <c r="I1205" s="110">
        <v>1781.19</v>
      </c>
      <c r="J1205" s="110">
        <v>4334.99</v>
      </c>
    </row>
    <row r="1206" spans="1:12" x14ac:dyDescent="0.2">
      <c r="A1206" t="s">
        <v>32</v>
      </c>
      <c r="B1206" t="s">
        <v>104</v>
      </c>
      <c r="C1206" t="s">
        <v>194</v>
      </c>
      <c r="D1206" s="110">
        <v>236832</v>
      </c>
      <c r="I1206" s="110">
        <v>2132.91</v>
      </c>
    </row>
    <row r="1207" spans="1:12" x14ac:dyDescent="0.2">
      <c r="A1207" t="s">
        <v>32</v>
      </c>
      <c r="B1207" t="s">
        <v>140</v>
      </c>
      <c r="C1207" t="s">
        <v>191</v>
      </c>
    </row>
    <row r="1208" spans="1:12" x14ac:dyDescent="0.2">
      <c r="A1208" t="s">
        <v>32</v>
      </c>
      <c r="B1208" t="s">
        <v>140</v>
      </c>
      <c r="C1208" t="s">
        <v>192</v>
      </c>
      <c r="D1208" s="110">
        <v>261430</v>
      </c>
      <c r="E1208" s="110">
        <v>261430</v>
      </c>
      <c r="F1208" s="110">
        <v>261430</v>
      </c>
    </row>
    <row r="1209" spans="1:12" x14ac:dyDescent="0.2">
      <c r="A1209" t="s">
        <v>32</v>
      </c>
      <c r="B1209" t="s">
        <v>140</v>
      </c>
      <c r="C1209" t="s">
        <v>193</v>
      </c>
      <c r="D1209" s="110">
        <v>53040</v>
      </c>
      <c r="E1209" s="110">
        <v>53040</v>
      </c>
    </row>
    <row r="1210" spans="1:12" x14ac:dyDescent="0.2">
      <c r="A1210" t="s">
        <v>32</v>
      </c>
      <c r="B1210" t="s">
        <v>140</v>
      </c>
      <c r="C1210" t="s">
        <v>194</v>
      </c>
      <c r="D1210" s="110">
        <v>53390</v>
      </c>
    </row>
    <row r="1211" spans="1:12" x14ac:dyDescent="0.2">
      <c r="A1211" t="s">
        <v>32</v>
      </c>
      <c r="B1211" t="s">
        <v>105</v>
      </c>
      <c r="C1211" t="s">
        <v>191</v>
      </c>
      <c r="D1211" s="110">
        <v>33315.230000000003</v>
      </c>
      <c r="E1211" s="110">
        <v>22369.23</v>
      </c>
      <c r="F1211" s="110">
        <v>21493.23</v>
      </c>
      <c r="G1211" s="110">
        <v>20429.23</v>
      </c>
      <c r="I1211" s="110">
        <v>5376.23</v>
      </c>
      <c r="J1211" s="110">
        <v>8786.23</v>
      </c>
      <c r="K1211" s="110">
        <v>11073.23</v>
      </c>
      <c r="L1211" s="110">
        <v>11283.23</v>
      </c>
    </row>
    <row r="1212" spans="1:12" x14ac:dyDescent="0.2">
      <c r="A1212" t="s">
        <v>32</v>
      </c>
      <c r="B1212" t="s">
        <v>105</v>
      </c>
      <c r="C1212" t="s">
        <v>192</v>
      </c>
      <c r="D1212" s="110">
        <v>37234.5</v>
      </c>
      <c r="E1212" s="110">
        <v>31855.5</v>
      </c>
      <c r="F1212" s="110">
        <v>30183.5</v>
      </c>
      <c r="I1212" s="110">
        <v>5271.06</v>
      </c>
      <c r="J1212" s="110">
        <v>9735.36</v>
      </c>
      <c r="K1212" s="110">
        <v>11643.8</v>
      </c>
    </row>
    <row r="1213" spans="1:12" x14ac:dyDescent="0.2">
      <c r="A1213" t="s">
        <v>32</v>
      </c>
      <c r="B1213" t="s">
        <v>105</v>
      </c>
      <c r="C1213" t="s">
        <v>193</v>
      </c>
      <c r="D1213" s="110">
        <v>34689</v>
      </c>
      <c r="E1213" s="110">
        <v>29312</v>
      </c>
      <c r="I1213" s="110">
        <v>4794.4799999999996</v>
      </c>
      <c r="J1213" s="110">
        <v>9885.48</v>
      </c>
    </row>
    <row r="1214" spans="1:12" x14ac:dyDescent="0.2">
      <c r="A1214" t="s">
        <v>32</v>
      </c>
      <c r="B1214" t="s">
        <v>105</v>
      </c>
      <c r="C1214" t="s">
        <v>194</v>
      </c>
      <c r="D1214" s="110">
        <v>41350.71</v>
      </c>
      <c r="I1214" s="110">
        <v>5263.53</v>
      </c>
    </row>
    <row r="1215" spans="1:12" x14ac:dyDescent="0.2">
      <c r="A1215" t="s">
        <v>32</v>
      </c>
      <c r="B1215" t="s">
        <v>111</v>
      </c>
      <c r="C1215" t="s">
        <v>191</v>
      </c>
      <c r="G1215" s="110">
        <v>390</v>
      </c>
    </row>
    <row r="1216" spans="1:12" x14ac:dyDescent="0.2">
      <c r="A1216" t="s">
        <v>32</v>
      </c>
      <c r="B1216" t="s">
        <v>111</v>
      </c>
      <c r="C1216" t="s">
        <v>192</v>
      </c>
      <c r="D1216" s="110">
        <v>235</v>
      </c>
      <c r="E1216" s="110">
        <v>235</v>
      </c>
      <c r="F1216" s="110">
        <v>235</v>
      </c>
    </row>
    <row r="1217" spans="1:12" x14ac:dyDescent="0.2">
      <c r="A1217" t="s">
        <v>32</v>
      </c>
      <c r="B1217" t="s">
        <v>111</v>
      </c>
      <c r="C1217" t="s">
        <v>193</v>
      </c>
    </row>
    <row r="1218" spans="1:12" x14ac:dyDescent="0.2">
      <c r="A1218" t="s">
        <v>32</v>
      </c>
      <c r="B1218" t="s">
        <v>111</v>
      </c>
      <c r="C1218" t="s">
        <v>194</v>
      </c>
      <c r="D1218" s="110">
        <v>318.5</v>
      </c>
      <c r="I1218" s="110">
        <v>3.5</v>
      </c>
    </row>
    <row r="1219" spans="1:12" x14ac:dyDescent="0.2">
      <c r="A1219" t="s">
        <v>32</v>
      </c>
      <c r="B1219" t="s">
        <v>109</v>
      </c>
      <c r="C1219" t="s">
        <v>191</v>
      </c>
      <c r="D1219" s="110">
        <v>50549</v>
      </c>
      <c r="E1219" s="110">
        <v>43804</v>
      </c>
      <c r="F1219" s="110">
        <v>43781</v>
      </c>
      <c r="G1219" s="110">
        <v>42923</v>
      </c>
      <c r="I1219" s="110">
        <v>16675</v>
      </c>
      <c r="J1219" s="110">
        <v>23656</v>
      </c>
      <c r="K1219" s="110">
        <v>27720</v>
      </c>
      <c r="L1219" s="110">
        <v>29839</v>
      </c>
    </row>
    <row r="1220" spans="1:12" x14ac:dyDescent="0.2">
      <c r="A1220" t="s">
        <v>32</v>
      </c>
      <c r="B1220" t="s">
        <v>109</v>
      </c>
      <c r="C1220" t="s">
        <v>192</v>
      </c>
      <c r="D1220" s="110">
        <v>36356</v>
      </c>
      <c r="E1220" s="110">
        <v>34569</v>
      </c>
      <c r="F1220" s="110">
        <v>34366</v>
      </c>
      <c r="I1220" s="110">
        <v>12719</v>
      </c>
      <c r="J1220" s="110">
        <v>18326</v>
      </c>
      <c r="K1220" s="110">
        <v>19845</v>
      </c>
    </row>
    <row r="1221" spans="1:12" x14ac:dyDescent="0.2">
      <c r="A1221" t="s">
        <v>32</v>
      </c>
      <c r="B1221" t="s">
        <v>109</v>
      </c>
      <c r="C1221" t="s">
        <v>193</v>
      </c>
      <c r="D1221" s="110">
        <v>43498</v>
      </c>
      <c r="E1221" s="110">
        <v>40024</v>
      </c>
      <c r="I1221" s="110">
        <v>13990</v>
      </c>
      <c r="J1221" s="110">
        <v>22123</v>
      </c>
    </row>
    <row r="1222" spans="1:12" x14ac:dyDescent="0.2">
      <c r="A1222" t="s">
        <v>32</v>
      </c>
      <c r="B1222" t="s">
        <v>109</v>
      </c>
      <c r="C1222" t="s">
        <v>194</v>
      </c>
      <c r="D1222" s="110">
        <v>45378.5</v>
      </c>
      <c r="I1222" s="110">
        <v>14287</v>
      </c>
    </row>
    <row r="1223" spans="1:12" x14ac:dyDescent="0.2">
      <c r="A1223" t="s">
        <v>32</v>
      </c>
      <c r="B1223" t="s">
        <v>106</v>
      </c>
      <c r="C1223" t="s">
        <v>191</v>
      </c>
      <c r="D1223" s="110">
        <v>41547</v>
      </c>
      <c r="E1223" s="110">
        <v>41147</v>
      </c>
      <c r="F1223" s="110">
        <v>41147</v>
      </c>
      <c r="G1223" s="110">
        <v>41147</v>
      </c>
      <c r="I1223" s="110">
        <v>40347</v>
      </c>
      <c r="J1223" s="110">
        <v>40347</v>
      </c>
      <c r="K1223" s="110">
        <v>40347</v>
      </c>
      <c r="L1223" s="110">
        <v>40347</v>
      </c>
    </row>
    <row r="1224" spans="1:12" x14ac:dyDescent="0.2">
      <c r="A1224" t="s">
        <v>32</v>
      </c>
      <c r="B1224" t="s">
        <v>106</v>
      </c>
      <c r="C1224" t="s">
        <v>192</v>
      </c>
      <c r="D1224" s="110">
        <v>36215</v>
      </c>
      <c r="E1224" s="110">
        <v>35815</v>
      </c>
      <c r="F1224" s="110">
        <v>35815</v>
      </c>
      <c r="I1224" s="110">
        <v>33901</v>
      </c>
      <c r="J1224" s="110">
        <v>34915</v>
      </c>
      <c r="K1224" s="110">
        <v>34915</v>
      </c>
    </row>
    <row r="1225" spans="1:12" x14ac:dyDescent="0.2">
      <c r="A1225" t="s">
        <v>32</v>
      </c>
      <c r="B1225" t="s">
        <v>106</v>
      </c>
      <c r="C1225" t="s">
        <v>193</v>
      </c>
      <c r="D1225" s="110">
        <v>46734.63</v>
      </c>
      <c r="E1225" s="110">
        <v>46734.63</v>
      </c>
      <c r="I1225" s="110">
        <v>45509.63</v>
      </c>
      <c r="J1225" s="110">
        <v>45999.49</v>
      </c>
    </row>
    <row r="1226" spans="1:12" x14ac:dyDescent="0.2">
      <c r="A1226" t="s">
        <v>32</v>
      </c>
      <c r="B1226" t="s">
        <v>106</v>
      </c>
      <c r="C1226" t="s">
        <v>194</v>
      </c>
      <c r="D1226" s="110">
        <v>36411.49</v>
      </c>
      <c r="I1226" s="110">
        <v>35121.49</v>
      </c>
    </row>
    <row r="1227" spans="1:12" x14ac:dyDescent="0.2">
      <c r="A1227" t="s">
        <v>32</v>
      </c>
      <c r="B1227" t="s">
        <v>107</v>
      </c>
      <c r="C1227" t="s">
        <v>191</v>
      </c>
      <c r="D1227" s="110">
        <v>42258.91</v>
      </c>
      <c r="E1227" s="110">
        <v>42258.91</v>
      </c>
      <c r="F1227" s="110">
        <v>42258.91</v>
      </c>
      <c r="G1227" s="110">
        <v>42258.91</v>
      </c>
      <c r="I1227" s="110">
        <v>41453.910000000003</v>
      </c>
      <c r="J1227" s="110">
        <v>42258.91</v>
      </c>
      <c r="K1227" s="110">
        <v>42258.91</v>
      </c>
      <c r="L1227" s="110">
        <v>42258.91</v>
      </c>
    </row>
    <row r="1228" spans="1:12" x14ac:dyDescent="0.2">
      <c r="A1228" t="s">
        <v>32</v>
      </c>
      <c r="B1228" t="s">
        <v>107</v>
      </c>
      <c r="C1228" t="s">
        <v>192</v>
      </c>
      <c r="D1228" s="110">
        <v>39200.93</v>
      </c>
      <c r="E1228" s="110">
        <v>39200.93</v>
      </c>
      <c r="F1228" s="110">
        <v>39200.93</v>
      </c>
      <c r="I1228" s="110">
        <v>38270.93</v>
      </c>
      <c r="J1228" s="110">
        <v>39200.93</v>
      </c>
      <c r="K1228" s="110">
        <v>39200.93</v>
      </c>
    </row>
    <row r="1229" spans="1:12" x14ac:dyDescent="0.2">
      <c r="A1229" t="s">
        <v>32</v>
      </c>
      <c r="B1229" t="s">
        <v>107</v>
      </c>
      <c r="C1229" t="s">
        <v>193</v>
      </c>
      <c r="D1229" s="110">
        <v>46673.59</v>
      </c>
      <c r="E1229" s="110">
        <v>46673.59</v>
      </c>
      <c r="I1229" s="110">
        <v>46353.59</v>
      </c>
      <c r="J1229" s="110">
        <v>46673.59</v>
      </c>
    </row>
    <row r="1230" spans="1:12" x14ac:dyDescent="0.2">
      <c r="A1230" t="s">
        <v>32</v>
      </c>
      <c r="B1230" t="s">
        <v>107</v>
      </c>
      <c r="C1230" t="s">
        <v>194</v>
      </c>
      <c r="D1230" s="110">
        <v>52702.39</v>
      </c>
      <c r="I1230" s="110">
        <v>52318.39</v>
      </c>
    </row>
    <row r="1231" spans="1:12" x14ac:dyDescent="0.2">
      <c r="A1231" t="s">
        <v>32</v>
      </c>
      <c r="B1231" t="s">
        <v>108</v>
      </c>
      <c r="C1231" t="s">
        <v>191</v>
      </c>
      <c r="D1231" s="110">
        <v>13224</v>
      </c>
      <c r="E1231" s="110">
        <v>13224</v>
      </c>
      <c r="F1231" s="110">
        <v>13224</v>
      </c>
      <c r="G1231" s="110">
        <v>13224</v>
      </c>
      <c r="I1231" s="110">
        <v>13149</v>
      </c>
      <c r="J1231" s="110">
        <v>13199</v>
      </c>
      <c r="K1231" s="110">
        <v>13199</v>
      </c>
      <c r="L1231" s="110">
        <v>13199</v>
      </c>
    </row>
    <row r="1232" spans="1:12" x14ac:dyDescent="0.2">
      <c r="A1232" t="s">
        <v>32</v>
      </c>
      <c r="B1232" t="s">
        <v>108</v>
      </c>
      <c r="C1232" t="s">
        <v>192</v>
      </c>
      <c r="D1232" s="110">
        <v>18854.939999999999</v>
      </c>
      <c r="E1232" s="110">
        <v>18854.939999999999</v>
      </c>
      <c r="F1232" s="110">
        <v>18854.939999999999</v>
      </c>
      <c r="I1232" s="110">
        <v>18854.939999999999</v>
      </c>
      <c r="J1232" s="110">
        <v>18584.939999999999</v>
      </c>
      <c r="K1232" s="110">
        <v>18854.939999999999</v>
      </c>
    </row>
    <row r="1233" spans="1:12" x14ac:dyDescent="0.2">
      <c r="A1233" t="s">
        <v>32</v>
      </c>
      <c r="B1233" t="s">
        <v>108</v>
      </c>
      <c r="C1233" t="s">
        <v>193</v>
      </c>
      <c r="D1233" s="110">
        <v>20560.46</v>
      </c>
      <c r="E1233" s="110">
        <v>20560.46</v>
      </c>
      <c r="I1233" s="110">
        <v>20381.96</v>
      </c>
      <c r="J1233" s="110">
        <v>20554.46</v>
      </c>
    </row>
    <row r="1234" spans="1:12" x14ac:dyDescent="0.2">
      <c r="A1234" t="s">
        <v>32</v>
      </c>
      <c r="B1234" t="s">
        <v>108</v>
      </c>
      <c r="C1234" t="s">
        <v>194</v>
      </c>
      <c r="D1234" s="110">
        <v>20478.47</v>
      </c>
      <c r="I1234" s="110">
        <v>19326.47</v>
      </c>
    </row>
    <row r="1235" spans="1:12" x14ac:dyDescent="0.2">
      <c r="A1235" t="s">
        <v>32</v>
      </c>
      <c r="B1235" t="s">
        <v>70</v>
      </c>
      <c r="C1235" t="s">
        <v>191</v>
      </c>
      <c r="D1235" s="110">
        <v>24118</v>
      </c>
      <c r="E1235" s="110">
        <v>23700</v>
      </c>
      <c r="F1235" s="110">
        <v>23700</v>
      </c>
      <c r="G1235" s="110">
        <v>23700</v>
      </c>
      <c r="I1235" s="110">
        <v>24118</v>
      </c>
      <c r="J1235" s="110">
        <v>23700</v>
      </c>
      <c r="K1235" s="110">
        <v>23700</v>
      </c>
      <c r="L1235" s="110">
        <v>23700</v>
      </c>
    </row>
    <row r="1236" spans="1:12" x14ac:dyDescent="0.2">
      <c r="A1236" t="s">
        <v>32</v>
      </c>
      <c r="B1236" t="s">
        <v>70</v>
      </c>
      <c r="C1236" t="s">
        <v>192</v>
      </c>
      <c r="D1236" s="110">
        <v>30351</v>
      </c>
      <c r="E1236" s="110">
        <v>30351</v>
      </c>
      <c r="F1236" s="110">
        <v>30351</v>
      </c>
      <c r="I1236" s="110">
        <v>30251</v>
      </c>
      <c r="J1236" s="110">
        <v>30251</v>
      </c>
      <c r="K1236" s="110">
        <v>30251</v>
      </c>
    </row>
    <row r="1237" spans="1:12" x14ac:dyDescent="0.2">
      <c r="A1237" t="s">
        <v>32</v>
      </c>
      <c r="B1237" t="s">
        <v>70</v>
      </c>
      <c r="C1237" t="s">
        <v>193</v>
      </c>
      <c r="D1237" s="110">
        <v>29555</v>
      </c>
      <c r="E1237" s="110">
        <v>29555</v>
      </c>
      <c r="I1237" s="110">
        <v>29455</v>
      </c>
      <c r="J1237" s="110">
        <v>29555</v>
      </c>
    </row>
    <row r="1238" spans="1:12" x14ac:dyDescent="0.2">
      <c r="A1238" t="s">
        <v>32</v>
      </c>
      <c r="B1238" t="s">
        <v>70</v>
      </c>
      <c r="C1238" t="s">
        <v>194</v>
      </c>
      <c r="D1238" s="110">
        <v>27165</v>
      </c>
      <c r="I1238" s="110">
        <v>26582</v>
      </c>
    </row>
    <row r="1239" spans="1:12" x14ac:dyDescent="0.2">
      <c r="A1239" t="s">
        <v>32</v>
      </c>
      <c r="B1239" t="s">
        <v>110</v>
      </c>
      <c r="C1239" t="s">
        <v>191</v>
      </c>
      <c r="D1239" s="110">
        <v>352552</v>
      </c>
      <c r="E1239" s="110">
        <v>348791.25</v>
      </c>
      <c r="F1239" s="110">
        <v>348349.25</v>
      </c>
      <c r="G1239" s="110">
        <v>348349.25</v>
      </c>
      <c r="I1239" s="110">
        <v>157032.20000000001</v>
      </c>
      <c r="J1239" s="110">
        <v>291491.20000000001</v>
      </c>
      <c r="K1239" s="110">
        <v>303499</v>
      </c>
      <c r="L1239" s="110">
        <v>309768.25</v>
      </c>
    </row>
    <row r="1240" spans="1:12" x14ac:dyDescent="0.2">
      <c r="A1240" t="s">
        <v>32</v>
      </c>
      <c r="B1240" t="s">
        <v>110</v>
      </c>
      <c r="C1240" t="s">
        <v>192</v>
      </c>
      <c r="D1240" s="110">
        <v>368418.75</v>
      </c>
      <c r="E1240" s="110">
        <v>367240</v>
      </c>
      <c r="F1240" s="110">
        <v>366521</v>
      </c>
      <c r="I1240" s="110">
        <v>183976.58</v>
      </c>
      <c r="J1240" s="110">
        <v>305051.25</v>
      </c>
      <c r="K1240" s="110">
        <v>321318</v>
      </c>
    </row>
    <row r="1241" spans="1:12" x14ac:dyDescent="0.2">
      <c r="A1241" t="s">
        <v>32</v>
      </c>
      <c r="B1241" t="s">
        <v>110</v>
      </c>
      <c r="C1241" t="s">
        <v>193</v>
      </c>
      <c r="D1241" s="110">
        <v>438176.9</v>
      </c>
      <c r="E1241" s="110">
        <v>429938.8</v>
      </c>
      <c r="I1241" s="110">
        <v>221643.65</v>
      </c>
      <c r="J1241" s="110">
        <v>360016.55</v>
      </c>
    </row>
    <row r="1242" spans="1:12" x14ac:dyDescent="0.2">
      <c r="A1242" t="s">
        <v>32</v>
      </c>
      <c r="B1242" t="s">
        <v>110</v>
      </c>
      <c r="C1242" t="s">
        <v>194</v>
      </c>
      <c r="D1242" s="110">
        <v>440712.4</v>
      </c>
      <c r="I1242" s="110">
        <v>241167.15</v>
      </c>
    </row>
    <row r="1243" spans="1:12" x14ac:dyDescent="0.2">
      <c r="A1243" t="s">
        <v>33</v>
      </c>
      <c r="B1243" t="s">
        <v>104</v>
      </c>
      <c r="C1243" t="s">
        <v>191</v>
      </c>
      <c r="D1243" s="110">
        <v>14783.75</v>
      </c>
      <c r="E1243" s="110">
        <v>14783.75</v>
      </c>
      <c r="F1243" s="110">
        <v>14288.75</v>
      </c>
      <c r="G1243" s="110">
        <v>14288</v>
      </c>
      <c r="I1243" s="110">
        <v>596.16</v>
      </c>
      <c r="J1243" s="110">
        <v>2072.1</v>
      </c>
      <c r="K1243" s="110">
        <v>2471.37</v>
      </c>
      <c r="L1243" s="110">
        <v>3219</v>
      </c>
    </row>
    <row r="1244" spans="1:12" x14ac:dyDescent="0.2">
      <c r="A1244" t="s">
        <v>33</v>
      </c>
      <c r="B1244" t="s">
        <v>104</v>
      </c>
      <c r="C1244" t="s">
        <v>192</v>
      </c>
      <c r="D1244" s="110">
        <v>15854.75</v>
      </c>
      <c r="E1244" s="110">
        <v>15854.75</v>
      </c>
      <c r="F1244" s="110">
        <v>15854</v>
      </c>
      <c r="I1244" s="110">
        <v>798.51</v>
      </c>
      <c r="J1244" s="110">
        <v>1244</v>
      </c>
      <c r="K1244" s="110">
        <v>1417</v>
      </c>
    </row>
    <row r="1245" spans="1:12" x14ac:dyDescent="0.2">
      <c r="A1245" t="s">
        <v>33</v>
      </c>
      <c r="B1245" t="s">
        <v>104</v>
      </c>
      <c r="C1245" t="s">
        <v>193</v>
      </c>
      <c r="D1245" s="110">
        <v>26980.25</v>
      </c>
      <c r="E1245" s="110">
        <v>26869</v>
      </c>
      <c r="I1245" s="110">
        <v>515.75</v>
      </c>
      <c r="J1245" s="110">
        <v>1753.36</v>
      </c>
    </row>
    <row r="1246" spans="1:12" x14ac:dyDescent="0.2">
      <c r="A1246" t="s">
        <v>33</v>
      </c>
      <c r="B1246" t="s">
        <v>104</v>
      </c>
      <c r="C1246" t="s">
        <v>194</v>
      </c>
      <c r="D1246" s="110">
        <v>12961.25</v>
      </c>
      <c r="I1246" s="110">
        <v>1570.75</v>
      </c>
    </row>
    <row r="1247" spans="1:12" x14ac:dyDescent="0.2">
      <c r="A1247" t="s">
        <v>33</v>
      </c>
      <c r="B1247" t="s">
        <v>140</v>
      </c>
      <c r="C1247" t="s">
        <v>191</v>
      </c>
    </row>
    <row r="1248" spans="1:12" x14ac:dyDescent="0.2">
      <c r="A1248" t="s">
        <v>33</v>
      </c>
      <c r="B1248" t="s">
        <v>140</v>
      </c>
      <c r="C1248" t="s">
        <v>192</v>
      </c>
    </row>
    <row r="1249" spans="1:12" x14ac:dyDescent="0.2">
      <c r="A1249" t="s">
        <v>33</v>
      </c>
      <c r="B1249" t="s">
        <v>140</v>
      </c>
      <c r="C1249" t="s">
        <v>193</v>
      </c>
    </row>
    <row r="1250" spans="1:12" x14ac:dyDescent="0.2">
      <c r="A1250" t="s">
        <v>33</v>
      </c>
      <c r="B1250" t="s">
        <v>140</v>
      </c>
      <c r="C1250" t="s">
        <v>194</v>
      </c>
    </row>
    <row r="1251" spans="1:12" x14ac:dyDescent="0.2">
      <c r="A1251" t="s">
        <v>33</v>
      </c>
      <c r="B1251" t="s">
        <v>105</v>
      </c>
      <c r="C1251" t="s">
        <v>191</v>
      </c>
      <c r="D1251" s="110">
        <v>6472.25</v>
      </c>
      <c r="E1251" s="110">
        <v>6472.25</v>
      </c>
      <c r="F1251" s="110">
        <v>6006.5</v>
      </c>
      <c r="G1251" s="110">
        <v>6006</v>
      </c>
      <c r="I1251" s="110">
        <v>1956.75</v>
      </c>
      <c r="J1251" s="110">
        <v>3030</v>
      </c>
      <c r="K1251" s="110">
        <v>3339</v>
      </c>
      <c r="L1251" s="110">
        <v>3339</v>
      </c>
    </row>
    <row r="1252" spans="1:12" x14ac:dyDescent="0.2">
      <c r="A1252" t="s">
        <v>33</v>
      </c>
      <c r="B1252" t="s">
        <v>105</v>
      </c>
      <c r="C1252" t="s">
        <v>192</v>
      </c>
      <c r="D1252" s="110">
        <v>8887.5</v>
      </c>
      <c r="E1252" s="110">
        <v>8887.5</v>
      </c>
      <c r="F1252" s="110">
        <v>8677</v>
      </c>
      <c r="I1252" s="110">
        <v>1208.75</v>
      </c>
      <c r="J1252" s="110">
        <v>2148.5</v>
      </c>
      <c r="K1252" s="110">
        <v>2498</v>
      </c>
    </row>
    <row r="1253" spans="1:12" x14ac:dyDescent="0.2">
      <c r="A1253" t="s">
        <v>33</v>
      </c>
      <c r="B1253" t="s">
        <v>105</v>
      </c>
      <c r="C1253" t="s">
        <v>193</v>
      </c>
      <c r="D1253" s="110">
        <v>12343</v>
      </c>
      <c r="E1253" s="110">
        <v>12104</v>
      </c>
      <c r="I1253" s="110">
        <v>2616</v>
      </c>
      <c r="J1253" s="110">
        <v>5139</v>
      </c>
    </row>
    <row r="1254" spans="1:12" x14ac:dyDescent="0.2">
      <c r="A1254" t="s">
        <v>33</v>
      </c>
      <c r="B1254" t="s">
        <v>105</v>
      </c>
      <c r="C1254" t="s">
        <v>194</v>
      </c>
      <c r="D1254" s="110">
        <v>8575</v>
      </c>
      <c r="I1254" s="110">
        <v>1157</v>
      </c>
    </row>
    <row r="1255" spans="1:12" x14ac:dyDescent="0.2">
      <c r="A1255" t="s">
        <v>33</v>
      </c>
      <c r="B1255" t="s">
        <v>111</v>
      </c>
      <c r="C1255" t="s">
        <v>191</v>
      </c>
    </row>
    <row r="1256" spans="1:12" x14ac:dyDescent="0.2">
      <c r="A1256" t="s">
        <v>33</v>
      </c>
      <c r="B1256" t="s">
        <v>111</v>
      </c>
      <c r="C1256" t="s">
        <v>192</v>
      </c>
    </row>
    <row r="1257" spans="1:12" x14ac:dyDescent="0.2">
      <c r="A1257" t="s">
        <v>33</v>
      </c>
      <c r="B1257" t="s">
        <v>111</v>
      </c>
      <c r="C1257" t="s">
        <v>193</v>
      </c>
    </row>
    <row r="1258" spans="1:12" x14ac:dyDescent="0.2">
      <c r="A1258" t="s">
        <v>33</v>
      </c>
      <c r="B1258" t="s">
        <v>111</v>
      </c>
      <c r="C1258" t="s">
        <v>194</v>
      </c>
    </row>
    <row r="1259" spans="1:12" x14ac:dyDescent="0.2">
      <c r="A1259" t="s">
        <v>33</v>
      </c>
      <c r="B1259" t="s">
        <v>109</v>
      </c>
      <c r="C1259" t="s">
        <v>191</v>
      </c>
      <c r="D1259" s="110">
        <v>8855</v>
      </c>
      <c r="E1259" s="110">
        <v>8855</v>
      </c>
      <c r="F1259" s="110">
        <v>8855</v>
      </c>
      <c r="G1259" s="110">
        <v>8855</v>
      </c>
      <c r="I1259" s="110">
        <v>3496</v>
      </c>
      <c r="J1259" s="110">
        <v>4730.21</v>
      </c>
      <c r="K1259" s="110">
        <v>5122.96</v>
      </c>
      <c r="L1259" s="110">
        <v>5216</v>
      </c>
    </row>
    <row r="1260" spans="1:12" x14ac:dyDescent="0.2">
      <c r="A1260" t="s">
        <v>33</v>
      </c>
      <c r="B1260" t="s">
        <v>109</v>
      </c>
      <c r="C1260" t="s">
        <v>192</v>
      </c>
      <c r="D1260" s="110">
        <v>12547</v>
      </c>
      <c r="E1260" s="110">
        <v>12547</v>
      </c>
      <c r="F1260" s="110">
        <v>11727</v>
      </c>
      <c r="I1260" s="110">
        <v>1042.5</v>
      </c>
      <c r="J1260" s="110">
        <v>3273.25</v>
      </c>
      <c r="K1260" s="110">
        <v>4400</v>
      </c>
    </row>
    <row r="1261" spans="1:12" x14ac:dyDescent="0.2">
      <c r="A1261" t="s">
        <v>33</v>
      </c>
      <c r="B1261" t="s">
        <v>109</v>
      </c>
      <c r="C1261" t="s">
        <v>193</v>
      </c>
      <c r="D1261" s="110">
        <v>8806.25</v>
      </c>
      <c r="E1261" s="110">
        <v>8806</v>
      </c>
      <c r="I1261" s="110">
        <v>1982.5</v>
      </c>
      <c r="J1261" s="110">
        <v>2891</v>
      </c>
    </row>
    <row r="1262" spans="1:12" x14ac:dyDescent="0.2">
      <c r="A1262" t="s">
        <v>33</v>
      </c>
      <c r="B1262" t="s">
        <v>109</v>
      </c>
      <c r="C1262" t="s">
        <v>194</v>
      </c>
      <c r="D1262" s="110">
        <v>11731</v>
      </c>
      <c r="I1262" s="110">
        <v>4389</v>
      </c>
    </row>
    <row r="1263" spans="1:12" x14ac:dyDescent="0.2">
      <c r="A1263" t="s">
        <v>33</v>
      </c>
      <c r="B1263" t="s">
        <v>106</v>
      </c>
      <c r="C1263" t="s">
        <v>191</v>
      </c>
      <c r="D1263" s="110">
        <v>8957</v>
      </c>
      <c r="E1263" s="110">
        <v>8957</v>
      </c>
      <c r="F1263" s="110">
        <v>8957</v>
      </c>
      <c r="G1263" s="110">
        <v>8957</v>
      </c>
      <c r="I1263" s="110">
        <v>8157</v>
      </c>
      <c r="J1263" s="110">
        <v>8157</v>
      </c>
      <c r="K1263" s="110">
        <v>8157</v>
      </c>
      <c r="L1263" s="110">
        <v>8157</v>
      </c>
    </row>
    <row r="1264" spans="1:12" x14ac:dyDescent="0.2">
      <c r="A1264" t="s">
        <v>33</v>
      </c>
      <c r="B1264" t="s">
        <v>106</v>
      </c>
      <c r="C1264" t="s">
        <v>192</v>
      </c>
      <c r="D1264" s="110">
        <v>13640.5</v>
      </c>
      <c r="E1264" s="110">
        <v>13640.5</v>
      </c>
      <c r="F1264" s="110">
        <v>13640.5</v>
      </c>
      <c r="I1264" s="110">
        <v>12639.5</v>
      </c>
      <c r="J1264" s="110">
        <v>13590.5</v>
      </c>
      <c r="K1264" s="110">
        <v>13591</v>
      </c>
    </row>
    <row r="1265" spans="1:12" x14ac:dyDescent="0.2">
      <c r="A1265" t="s">
        <v>33</v>
      </c>
      <c r="B1265" t="s">
        <v>106</v>
      </c>
      <c r="C1265" t="s">
        <v>193</v>
      </c>
      <c r="D1265" s="110">
        <v>7990</v>
      </c>
      <c r="E1265" s="110">
        <v>7990</v>
      </c>
      <c r="I1265" s="110">
        <v>7990</v>
      </c>
      <c r="J1265" s="110">
        <v>7990</v>
      </c>
    </row>
    <row r="1266" spans="1:12" x14ac:dyDescent="0.2">
      <c r="A1266" t="s">
        <v>33</v>
      </c>
      <c r="B1266" t="s">
        <v>106</v>
      </c>
      <c r="C1266" t="s">
        <v>194</v>
      </c>
      <c r="D1266" s="110">
        <v>10959</v>
      </c>
      <c r="I1266" s="110">
        <v>9988</v>
      </c>
    </row>
    <row r="1267" spans="1:12" x14ac:dyDescent="0.2">
      <c r="A1267" t="s">
        <v>33</v>
      </c>
      <c r="B1267" t="s">
        <v>107</v>
      </c>
      <c r="C1267" t="s">
        <v>191</v>
      </c>
      <c r="D1267" s="110">
        <v>9110</v>
      </c>
      <c r="E1267" s="110">
        <v>9110</v>
      </c>
      <c r="F1267" s="110">
        <v>9110</v>
      </c>
      <c r="G1267" s="110">
        <v>9110</v>
      </c>
      <c r="I1267" s="110">
        <v>8800</v>
      </c>
      <c r="J1267" s="110">
        <v>9110</v>
      </c>
      <c r="K1267" s="110">
        <v>9110</v>
      </c>
      <c r="L1267" s="110">
        <v>9110</v>
      </c>
    </row>
    <row r="1268" spans="1:12" x14ac:dyDescent="0.2">
      <c r="A1268" t="s">
        <v>33</v>
      </c>
      <c r="B1268" t="s">
        <v>107</v>
      </c>
      <c r="C1268" t="s">
        <v>192</v>
      </c>
      <c r="D1268" s="110">
        <v>7120</v>
      </c>
      <c r="E1268" s="110">
        <v>7120</v>
      </c>
      <c r="F1268" s="110">
        <v>7120</v>
      </c>
      <c r="I1268" s="110">
        <v>6750</v>
      </c>
      <c r="J1268" s="110">
        <v>7070</v>
      </c>
      <c r="K1268" s="110">
        <v>7070</v>
      </c>
    </row>
    <row r="1269" spans="1:12" x14ac:dyDescent="0.2">
      <c r="A1269" t="s">
        <v>33</v>
      </c>
      <c r="B1269" t="s">
        <v>107</v>
      </c>
      <c r="C1269" t="s">
        <v>193</v>
      </c>
      <c r="D1269" s="110">
        <v>9965</v>
      </c>
      <c r="E1269" s="110">
        <v>9965</v>
      </c>
      <c r="I1269" s="110">
        <v>9335</v>
      </c>
      <c r="J1269" s="110">
        <v>9965</v>
      </c>
    </row>
    <row r="1270" spans="1:12" x14ac:dyDescent="0.2">
      <c r="A1270" t="s">
        <v>33</v>
      </c>
      <c r="B1270" t="s">
        <v>107</v>
      </c>
      <c r="C1270" t="s">
        <v>194</v>
      </c>
      <c r="D1270" s="110">
        <v>9880</v>
      </c>
      <c r="I1270" s="110">
        <v>9880</v>
      </c>
    </row>
    <row r="1271" spans="1:12" x14ac:dyDescent="0.2">
      <c r="A1271" t="s">
        <v>33</v>
      </c>
      <c r="B1271" t="s">
        <v>108</v>
      </c>
      <c r="C1271" t="s">
        <v>191</v>
      </c>
      <c r="D1271" s="110">
        <v>2703</v>
      </c>
      <c r="E1271" s="110">
        <v>2703</v>
      </c>
      <c r="F1271" s="110">
        <v>2703</v>
      </c>
      <c r="G1271" s="110">
        <v>2703</v>
      </c>
      <c r="I1271" s="110">
        <v>2703</v>
      </c>
      <c r="J1271" s="110">
        <v>2703</v>
      </c>
      <c r="K1271" s="110">
        <v>2703</v>
      </c>
      <c r="L1271" s="110">
        <v>2703</v>
      </c>
    </row>
    <row r="1272" spans="1:12" x14ac:dyDescent="0.2">
      <c r="A1272" t="s">
        <v>33</v>
      </c>
      <c r="B1272" t="s">
        <v>108</v>
      </c>
      <c r="C1272" t="s">
        <v>192</v>
      </c>
      <c r="D1272" s="110">
        <v>9325</v>
      </c>
      <c r="E1272" s="110">
        <v>9325</v>
      </c>
      <c r="F1272" s="110">
        <v>9325</v>
      </c>
      <c r="I1272" s="110">
        <v>9325</v>
      </c>
      <c r="J1272" s="110">
        <v>9325</v>
      </c>
      <c r="K1272" s="110">
        <v>9325</v>
      </c>
    </row>
    <row r="1273" spans="1:12" x14ac:dyDescent="0.2">
      <c r="A1273" t="s">
        <v>33</v>
      </c>
      <c r="B1273" t="s">
        <v>108</v>
      </c>
      <c r="C1273" t="s">
        <v>193</v>
      </c>
      <c r="D1273" s="110">
        <v>3658</v>
      </c>
      <c r="E1273" s="110">
        <v>3658</v>
      </c>
      <c r="I1273" s="110">
        <v>3258</v>
      </c>
      <c r="J1273" s="110">
        <v>3258</v>
      </c>
    </row>
    <row r="1274" spans="1:12" x14ac:dyDescent="0.2">
      <c r="A1274" t="s">
        <v>33</v>
      </c>
      <c r="B1274" t="s">
        <v>108</v>
      </c>
      <c r="C1274" t="s">
        <v>194</v>
      </c>
      <c r="D1274" s="110">
        <v>4347</v>
      </c>
      <c r="I1274" s="110">
        <v>4347</v>
      </c>
    </row>
    <row r="1275" spans="1:12" x14ac:dyDescent="0.2">
      <c r="A1275" t="s">
        <v>33</v>
      </c>
      <c r="B1275" t="s">
        <v>70</v>
      </c>
      <c r="C1275" t="s">
        <v>191</v>
      </c>
      <c r="D1275" s="110">
        <v>6090</v>
      </c>
      <c r="E1275" s="110">
        <v>6090</v>
      </c>
      <c r="F1275" s="110">
        <v>6090</v>
      </c>
      <c r="G1275" s="110">
        <v>6090</v>
      </c>
      <c r="I1275" s="110">
        <v>3645</v>
      </c>
      <c r="J1275" s="110">
        <v>4000</v>
      </c>
      <c r="K1275" s="110">
        <v>4030</v>
      </c>
      <c r="L1275" s="110">
        <v>4060</v>
      </c>
    </row>
    <row r="1276" spans="1:12" x14ac:dyDescent="0.2">
      <c r="A1276" t="s">
        <v>33</v>
      </c>
      <c r="B1276" t="s">
        <v>70</v>
      </c>
      <c r="C1276" t="s">
        <v>192</v>
      </c>
      <c r="D1276" s="110">
        <v>5878.5</v>
      </c>
      <c r="E1276" s="110">
        <v>5878.5</v>
      </c>
      <c r="F1276" s="110">
        <v>5878.5</v>
      </c>
      <c r="I1276" s="110">
        <v>5660.5</v>
      </c>
      <c r="J1276" s="110">
        <v>5660.5</v>
      </c>
      <c r="K1276" s="110">
        <v>5660.5</v>
      </c>
    </row>
    <row r="1277" spans="1:12" x14ac:dyDescent="0.2">
      <c r="A1277" t="s">
        <v>33</v>
      </c>
      <c r="B1277" t="s">
        <v>70</v>
      </c>
      <c r="C1277" t="s">
        <v>193</v>
      </c>
      <c r="D1277" s="110">
        <v>3658</v>
      </c>
      <c r="E1277" s="110">
        <v>3658</v>
      </c>
      <c r="I1277" s="110">
        <v>3258</v>
      </c>
      <c r="J1277" s="110">
        <v>3258</v>
      </c>
    </row>
    <row r="1278" spans="1:12" x14ac:dyDescent="0.2">
      <c r="A1278" t="s">
        <v>33</v>
      </c>
      <c r="B1278" t="s">
        <v>70</v>
      </c>
      <c r="C1278" t="s">
        <v>194</v>
      </c>
      <c r="D1278" s="110">
        <v>5722</v>
      </c>
      <c r="I1278" s="110">
        <v>4854</v>
      </c>
    </row>
    <row r="1279" spans="1:12" x14ac:dyDescent="0.2">
      <c r="A1279" t="s">
        <v>33</v>
      </c>
      <c r="B1279" t="s">
        <v>110</v>
      </c>
      <c r="C1279" t="s">
        <v>191</v>
      </c>
      <c r="D1279" s="110">
        <v>78629</v>
      </c>
      <c r="E1279" s="110">
        <v>75476</v>
      </c>
      <c r="F1279" s="110">
        <v>75271</v>
      </c>
      <c r="G1279" s="110">
        <v>75271</v>
      </c>
      <c r="I1279" s="110">
        <v>38820</v>
      </c>
      <c r="J1279" s="110">
        <v>64700</v>
      </c>
      <c r="K1279" s="110">
        <v>67933</v>
      </c>
      <c r="L1279" s="110">
        <v>69503</v>
      </c>
    </row>
    <row r="1280" spans="1:12" x14ac:dyDescent="0.2">
      <c r="A1280" t="s">
        <v>33</v>
      </c>
      <c r="B1280" t="s">
        <v>110</v>
      </c>
      <c r="C1280" t="s">
        <v>192</v>
      </c>
      <c r="D1280" s="110">
        <v>150996.53</v>
      </c>
      <c r="E1280" s="110">
        <v>147929.53</v>
      </c>
      <c r="F1280" s="110">
        <v>147473</v>
      </c>
      <c r="I1280" s="110">
        <v>70961.22</v>
      </c>
      <c r="J1280" s="110">
        <v>125390.22</v>
      </c>
      <c r="K1280" s="110">
        <v>131586</v>
      </c>
    </row>
    <row r="1281" spans="1:12" x14ac:dyDescent="0.2">
      <c r="A1281" t="s">
        <v>33</v>
      </c>
      <c r="B1281" t="s">
        <v>110</v>
      </c>
      <c r="C1281" t="s">
        <v>193</v>
      </c>
      <c r="D1281" s="110">
        <v>186778.5</v>
      </c>
      <c r="E1281" s="110">
        <v>185111</v>
      </c>
      <c r="I1281" s="110">
        <v>92665.5</v>
      </c>
      <c r="J1281" s="110">
        <v>148561</v>
      </c>
    </row>
    <row r="1282" spans="1:12" x14ac:dyDescent="0.2">
      <c r="A1282" t="s">
        <v>33</v>
      </c>
      <c r="B1282" t="s">
        <v>110</v>
      </c>
      <c r="C1282" t="s">
        <v>194</v>
      </c>
      <c r="D1282" s="110">
        <v>206485</v>
      </c>
      <c r="I1282" s="110">
        <v>91683</v>
      </c>
    </row>
    <row r="1283" spans="1:12" x14ac:dyDescent="0.2">
      <c r="A1283" t="s">
        <v>34</v>
      </c>
      <c r="B1283" t="s">
        <v>104</v>
      </c>
      <c r="C1283" t="s">
        <v>191</v>
      </c>
      <c r="D1283" s="110">
        <v>13447</v>
      </c>
      <c r="E1283" s="110">
        <v>42333</v>
      </c>
      <c r="F1283" s="110">
        <v>42333</v>
      </c>
      <c r="G1283" s="110">
        <v>44972.800000000003</v>
      </c>
      <c r="I1283" s="110">
        <v>403.83</v>
      </c>
      <c r="J1283" s="110">
        <v>3157.8</v>
      </c>
      <c r="K1283" s="110">
        <v>7457.69</v>
      </c>
      <c r="L1283" s="110">
        <v>10759.28</v>
      </c>
    </row>
    <row r="1284" spans="1:12" x14ac:dyDescent="0.2">
      <c r="A1284" t="s">
        <v>34</v>
      </c>
      <c r="B1284" t="s">
        <v>104</v>
      </c>
      <c r="C1284" t="s">
        <v>192</v>
      </c>
      <c r="D1284" s="110">
        <v>18803</v>
      </c>
      <c r="E1284" s="110">
        <v>18803</v>
      </c>
      <c r="F1284" s="110">
        <v>18803</v>
      </c>
      <c r="I1284" s="110">
        <v>399.98</v>
      </c>
      <c r="J1284" s="110">
        <v>4436.99</v>
      </c>
      <c r="K1284" s="110">
        <v>5650.38</v>
      </c>
    </row>
    <row r="1285" spans="1:12" x14ac:dyDescent="0.2">
      <c r="A1285" t="s">
        <v>34</v>
      </c>
      <c r="B1285" t="s">
        <v>104</v>
      </c>
      <c r="C1285" t="s">
        <v>193</v>
      </c>
      <c r="D1285" s="110">
        <v>20140</v>
      </c>
      <c r="E1285" s="110">
        <v>36296.620000000003</v>
      </c>
      <c r="I1285" s="110">
        <v>1051.54</v>
      </c>
      <c r="J1285" s="110">
        <v>2627.66</v>
      </c>
    </row>
    <row r="1286" spans="1:12" x14ac:dyDescent="0.2">
      <c r="A1286" t="s">
        <v>34</v>
      </c>
      <c r="B1286" t="s">
        <v>104</v>
      </c>
      <c r="C1286" t="s">
        <v>194</v>
      </c>
      <c r="D1286" s="110">
        <v>46835.14</v>
      </c>
      <c r="I1286" s="110">
        <v>48.08</v>
      </c>
    </row>
    <row r="1287" spans="1:12" x14ac:dyDescent="0.2">
      <c r="A1287" t="s">
        <v>34</v>
      </c>
      <c r="B1287" t="s">
        <v>140</v>
      </c>
      <c r="C1287" t="s">
        <v>191</v>
      </c>
    </row>
    <row r="1288" spans="1:12" x14ac:dyDescent="0.2">
      <c r="A1288" t="s">
        <v>34</v>
      </c>
      <c r="B1288" t="s">
        <v>140</v>
      </c>
      <c r="C1288" t="s">
        <v>192</v>
      </c>
    </row>
    <row r="1289" spans="1:12" x14ac:dyDescent="0.2">
      <c r="A1289" t="s">
        <v>34</v>
      </c>
      <c r="B1289" t="s">
        <v>140</v>
      </c>
      <c r="C1289" t="s">
        <v>193</v>
      </c>
    </row>
    <row r="1290" spans="1:12" x14ac:dyDescent="0.2">
      <c r="A1290" t="s">
        <v>34</v>
      </c>
      <c r="B1290" t="s">
        <v>140</v>
      </c>
      <c r="C1290" t="s">
        <v>194</v>
      </c>
    </row>
    <row r="1291" spans="1:12" x14ac:dyDescent="0.2">
      <c r="A1291" t="s">
        <v>34</v>
      </c>
      <c r="B1291" t="s">
        <v>105</v>
      </c>
      <c r="C1291" t="s">
        <v>191</v>
      </c>
      <c r="D1291" s="110">
        <v>3402</v>
      </c>
      <c r="E1291" s="110">
        <v>3402</v>
      </c>
      <c r="F1291" s="110">
        <v>3402</v>
      </c>
      <c r="G1291" s="110">
        <v>3402</v>
      </c>
      <c r="I1291" s="110">
        <v>145</v>
      </c>
      <c r="J1291" s="110">
        <v>1200</v>
      </c>
      <c r="K1291" s="110">
        <v>1885</v>
      </c>
      <c r="L1291" s="110">
        <v>2762</v>
      </c>
    </row>
    <row r="1292" spans="1:12" x14ac:dyDescent="0.2">
      <c r="A1292" t="s">
        <v>34</v>
      </c>
      <c r="B1292" t="s">
        <v>105</v>
      </c>
      <c r="C1292" t="s">
        <v>192</v>
      </c>
      <c r="D1292" s="110">
        <v>1727</v>
      </c>
      <c r="E1292" s="110">
        <v>1727</v>
      </c>
      <c r="F1292" s="110">
        <v>1727</v>
      </c>
      <c r="I1292" s="110">
        <v>617</v>
      </c>
      <c r="J1292" s="110">
        <v>887</v>
      </c>
      <c r="K1292" s="110">
        <v>887</v>
      </c>
    </row>
    <row r="1293" spans="1:12" x14ac:dyDescent="0.2">
      <c r="A1293" t="s">
        <v>34</v>
      </c>
      <c r="B1293" t="s">
        <v>105</v>
      </c>
      <c r="C1293" t="s">
        <v>193</v>
      </c>
      <c r="D1293" s="110">
        <v>3962.5</v>
      </c>
      <c r="E1293" s="110">
        <v>3962.5</v>
      </c>
      <c r="I1293" s="110">
        <v>792</v>
      </c>
      <c r="J1293" s="110">
        <v>987</v>
      </c>
    </row>
    <row r="1294" spans="1:12" x14ac:dyDescent="0.2">
      <c r="A1294" t="s">
        <v>34</v>
      </c>
      <c r="B1294" t="s">
        <v>105</v>
      </c>
      <c r="C1294" t="s">
        <v>194</v>
      </c>
      <c r="D1294" s="110">
        <v>4230</v>
      </c>
      <c r="I1294" s="110">
        <v>1445</v>
      </c>
    </row>
    <row r="1295" spans="1:12" x14ac:dyDescent="0.2">
      <c r="A1295" t="s">
        <v>34</v>
      </c>
      <c r="B1295" t="s">
        <v>111</v>
      </c>
      <c r="C1295" t="s">
        <v>191</v>
      </c>
    </row>
    <row r="1296" spans="1:12" x14ac:dyDescent="0.2">
      <c r="A1296" t="s">
        <v>34</v>
      </c>
      <c r="B1296" t="s">
        <v>111</v>
      </c>
      <c r="C1296" t="s">
        <v>192</v>
      </c>
    </row>
    <row r="1297" spans="1:12" x14ac:dyDescent="0.2">
      <c r="A1297" t="s">
        <v>34</v>
      </c>
      <c r="B1297" t="s">
        <v>111</v>
      </c>
      <c r="C1297" t="s">
        <v>193</v>
      </c>
    </row>
    <row r="1298" spans="1:12" x14ac:dyDescent="0.2">
      <c r="A1298" t="s">
        <v>34</v>
      </c>
      <c r="B1298" t="s">
        <v>111</v>
      </c>
      <c r="C1298" t="s">
        <v>194</v>
      </c>
    </row>
    <row r="1299" spans="1:12" x14ac:dyDescent="0.2">
      <c r="A1299" t="s">
        <v>34</v>
      </c>
      <c r="B1299" t="s">
        <v>109</v>
      </c>
      <c r="C1299" t="s">
        <v>191</v>
      </c>
      <c r="D1299" s="110">
        <v>17573.5</v>
      </c>
      <c r="E1299" s="110">
        <v>17573.5</v>
      </c>
      <c r="F1299" s="110">
        <v>17573.5</v>
      </c>
      <c r="G1299" s="110">
        <v>17573.5</v>
      </c>
      <c r="I1299" s="110">
        <v>1506.5</v>
      </c>
      <c r="J1299" s="110">
        <v>2817.5</v>
      </c>
      <c r="K1299" s="110">
        <v>7463.5</v>
      </c>
      <c r="L1299" s="110">
        <v>7961.5</v>
      </c>
    </row>
    <row r="1300" spans="1:12" x14ac:dyDescent="0.2">
      <c r="A1300" t="s">
        <v>34</v>
      </c>
      <c r="B1300" t="s">
        <v>109</v>
      </c>
      <c r="C1300" t="s">
        <v>192</v>
      </c>
      <c r="D1300" s="110">
        <v>12263</v>
      </c>
      <c r="E1300" s="110">
        <v>12263</v>
      </c>
      <c r="F1300" s="110">
        <v>12263</v>
      </c>
      <c r="I1300" s="110">
        <v>2919</v>
      </c>
      <c r="J1300" s="110">
        <v>3257</v>
      </c>
      <c r="K1300" s="110">
        <v>3755</v>
      </c>
    </row>
    <row r="1301" spans="1:12" x14ac:dyDescent="0.2">
      <c r="A1301" t="s">
        <v>34</v>
      </c>
      <c r="B1301" t="s">
        <v>109</v>
      </c>
      <c r="C1301" t="s">
        <v>193</v>
      </c>
      <c r="D1301" s="110">
        <v>13005</v>
      </c>
      <c r="E1301" s="110">
        <v>13005</v>
      </c>
      <c r="I1301" s="110">
        <v>2793.5</v>
      </c>
      <c r="J1301" s="110">
        <v>4634</v>
      </c>
    </row>
    <row r="1302" spans="1:12" x14ac:dyDescent="0.2">
      <c r="A1302" t="s">
        <v>34</v>
      </c>
      <c r="B1302" t="s">
        <v>109</v>
      </c>
      <c r="C1302" t="s">
        <v>194</v>
      </c>
      <c r="D1302" s="110">
        <v>9188</v>
      </c>
      <c r="I1302" s="110">
        <v>3588</v>
      </c>
    </row>
    <row r="1303" spans="1:12" x14ac:dyDescent="0.2">
      <c r="A1303" t="s">
        <v>34</v>
      </c>
      <c r="B1303" t="s">
        <v>106</v>
      </c>
      <c r="C1303" t="s">
        <v>191</v>
      </c>
      <c r="D1303" s="110">
        <v>3055</v>
      </c>
      <c r="E1303" s="110">
        <v>3055</v>
      </c>
      <c r="F1303" s="110">
        <v>3055</v>
      </c>
      <c r="G1303" s="110">
        <v>3055</v>
      </c>
      <c r="I1303" s="110">
        <v>2655</v>
      </c>
      <c r="J1303" s="110">
        <v>3055</v>
      </c>
      <c r="K1303" s="110">
        <v>3055</v>
      </c>
      <c r="L1303" s="110">
        <v>3055</v>
      </c>
    </row>
    <row r="1304" spans="1:12" x14ac:dyDescent="0.2">
      <c r="A1304" t="s">
        <v>34</v>
      </c>
      <c r="B1304" t="s">
        <v>106</v>
      </c>
      <c r="C1304" t="s">
        <v>192</v>
      </c>
      <c r="D1304" s="110">
        <v>6980</v>
      </c>
      <c r="E1304" s="110">
        <v>6980</v>
      </c>
      <c r="F1304" s="110">
        <v>6980</v>
      </c>
      <c r="I1304" s="110">
        <v>6980</v>
      </c>
      <c r="J1304" s="110">
        <v>6980</v>
      </c>
      <c r="K1304" s="110">
        <v>6980</v>
      </c>
    </row>
    <row r="1305" spans="1:12" x14ac:dyDescent="0.2">
      <c r="A1305" t="s">
        <v>34</v>
      </c>
      <c r="B1305" t="s">
        <v>106</v>
      </c>
      <c r="C1305" t="s">
        <v>193</v>
      </c>
      <c r="D1305" s="110">
        <v>4593.5</v>
      </c>
      <c r="E1305" s="110">
        <v>4593.5</v>
      </c>
      <c r="I1305" s="110">
        <v>4593.5</v>
      </c>
      <c r="J1305" s="110">
        <v>4593.5</v>
      </c>
    </row>
    <row r="1306" spans="1:12" x14ac:dyDescent="0.2">
      <c r="A1306" t="s">
        <v>34</v>
      </c>
      <c r="B1306" t="s">
        <v>106</v>
      </c>
      <c r="C1306" t="s">
        <v>194</v>
      </c>
      <c r="D1306" s="110">
        <v>9040</v>
      </c>
      <c r="I1306" s="110">
        <v>9040</v>
      </c>
    </row>
    <row r="1307" spans="1:12" x14ac:dyDescent="0.2">
      <c r="A1307" t="s">
        <v>34</v>
      </c>
      <c r="B1307" t="s">
        <v>107</v>
      </c>
      <c r="C1307" t="s">
        <v>191</v>
      </c>
      <c r="D1307" s="110">
        <v>3888</v>
      </c>
      <c r="E1307" s="110">
        <v>3888</v>
      </c>
      <c r="F1307" s="110">
        <v>3888</v>
      </c>
      <c r="G1307" s="110">
        <v>3888</v>
      </c>
      <c r="I1307" s="110">
        <v>3888</v>
      </c>
      <c r="J1307" s="110">
        <v>3888</v>
      </c>
      <c r="K1307" s="110">
        <v>3888</v>
      </c>
      <c r="L1307" s="110">
        <v>3888</v>
      </c>
    </row>
    <row r="1308" spans="1:12" x14ac:dyDescent="0.2">
      <c r="A1308" t="s">
        <v>34</v>
      </c>
      <c r="B1308" t="s">
        <v>107</v>
      </c>
      <c r="C1308" t="s">
        <v>192</v>
      </c>
      <c r="D1308" s="110">
        <v>5515</v>
      </c>
      <c r="E1308" s="110">
        <v>5515</v>
      </c>
      <c r="F1308" s="110">
        <v>5515</v>
      </c>
      <c r="I1308" s="110">
        <v>5515</v>
      </c>
      <c r="J1308" s="110">
        <v>5515</v>
      </c>
      <c r="K1308" s="110">
        <v>5515</v>
      </c>
    </row>
    <row r="1309" spans="1:12" x14ac:dyDescent="0.2">
      <c r="A1309" t="s">
        <v>34</v>
      </c>
      <c r="B1309" t="s">
        <v>107</v>
      </c>
      <c r="C1309" t="s">
        <v>193</v>
      </c>
      <c r="D1309" s="110">
        <v>5815</v>
      </c>
      <c r="E1309" s="110">
        <v>5815</v>
      </c>
      <c r="I1309" s="110">
        <v>5630</v>
      </c>
      <c r="J1309" s="110">
        <v>5815</v>
      </c>
    </row>
    <row r="1310" spans="1:12" x14ac:dyDescent="0.2">
      <c r="A1310" t="s">
        <v>34</v>
      </c>
      <c r="B1310" t="s">
        <v>107</v>
      </c>
      <c r="C1310" t="s">
        <v>194</v>
      </c>
      <c r="D1310" s="110">
        <v>5769</v>
      </c>
      <c r="I1310" s="110">
        <v>5769</v>
      </c>
    </row>
    <row r="1311" spans="1:12" x14ac:dyDescent="0.2">
      <c r="A1311" t="s">
        <v>34</v>
      </c>
      <c r="B1311" t="s">
        <v>108</v>
      </c>
      <c r="C1311" t="s">
        <v>191</v>
      </c>
      <c r="D1311" s="110">
        <v>976</v>
      </c>
      <c r="E1311" s="110">
        <v>976</v>
      </c>
      <c r="F1311" s="110">
        <v>976</v>
      </c>
      <c r="G1311" s="110">
        <v>976</v>
      </c>
      <c r="I1311" s="110">
        <v>976</v>
      </c>
      <c r="J1311" s="110">
        <v>976</v>
      </c>
      <c r="K1311" s="110">
        <v>976</v>
      </c>
      <c r="L1311" s="110">
        <v>976</v>
      </c>
    </row>
    <row r="1312" spans="1:12" x14ac:dyDescent="0.2">
      <c r="A1312" t="s">
        <v>34</v>
      </c>
      <c r="B1312" t="s">
        <v>108</v>
      </c>
      <c r="C1312" t="s">
        <v>192</v>
      </c>
      <c r="D1312" s="110">
        <v>3352</v>
      </c>
      <c r="E1312" s="110">
        <v>3352</v>
      </c>
      <c r="F1312" s="110">
        <v>3352</v>
      </c>
      <c r="I1312" s="110">
        <v>3352</v>
      </c>
      <c r="J1312" s="110">
        <v>3352</v>
      </c>
      <c r="K1312" s="110">
        <v>3352</v>
      </c>
    </row>
    <row r="1313" spans="1:12" x14ac:dyDescent="0.2">
      <c r="A1313" t="s">
        <v>34</v>
      </c>
      <c r="B1313" t="s">
        <v>108</v>
      </c>
      <c r="C1313" t="s">
        <v>193</v>
      </c>
      <c r="D1313" s="110">
        <v>631</v>
      </c>
      <c r="E1313" s="110">
        <v>631</v>
      </c>
      <c r="I1313" s="110">
        <v>631</v>
      </c>
      <c r="J1313" s="110">
        <v>631</v>
      </c>
    </row>
    <row r="1314" spans="1:12" x14ac:dyDescent="0.2">
      <c r="A1314" t="s">
        <v>34</v>
      </c>
      <c r="B1314" t="s">
        <v>108</v>
      </c>
      <c r="C1314" t="s">
        <v>194</v>
      </c>
      <c r="D1314" s="110">
        <v>3080</v>
      </c>
      <c r="I1314" s="110">
        <v>3080</v>
      </c>
    </row>
    <row r="1315" spans="1:12" x14ac:dyDescent="0.2">
      <c r="A1315" t="s">
        <v>34</v>
      </c>
      <c r="B1315" t="s">
        <v>70</v>
      </c>
      <c r="C1315" t="s">
        <v>191</v>
      </c>
      <c r="D1315" s="110">
        <v>4487</v>
      </c>
      <c r="E1315" s="110">
        <v>4487</v>
      </c>
      <c r="F1315" s="110">
        <v>4487</v>
      </c>
      <c r="G1315" s="110">
        <v>4487</v>
      </c>
      <c r="I1315" s="110">
        <v>4487</v>
      </c>
      <c r="J1315" s="110">
        <v>4487</v>
      </c>
      <c r="K1315" s="110">
        <v>4487</v>
      </c>
      <c r="L1315" s="110">
        <v>4487</v>
      </c>
    </row>
    <row r="1316" spans="1:12" x14ac:dyDescent="0.2">
      <c r="A1316" t="s">
        <v>34</v>
      </c>
      <c r="B1316" t="s">
        <v>70</v>
      </c>
      <c r="C1316" t="s">
        <v>192</v>
      </c>
      <c r="D1316" s="110">
        <v>6502</v>
      </c>
      <c r="E1316" s="110">
        <v>6502</v>
      </c>
      <c r="F1316" s="110">
        <v>6502</v>
      </c>
      <c r="I1316" s="110">
        <v>6502</v>
      </c>
      <c r="J1316" s="110">
        <v>6502</v>
      </c>
      <c r="K1316" s="110">
        <v>6502</v>
      </c>
    </row>
    <row r="1317" spans="1:12" x14ac:dyDescent="0.2">
      <c r="A1317" t="s">
        <v>34</v>
      </c>
      <c r="B1317" t="s">
        <v>70</v>
      </c>
      <c r="C1317" t="s">
        <v>193</v>
      </c>
      <c r="D1317" s="110">
        <v>2869</v>
      </c>
      <c r="E1317" s="110">
        <v>2869</v>
      </c>
      <c r="I1317" s="110">
        <v>2033</v>
      </c>
      <c r="J1317" s="110">
        <v>2869</v>
      </c>
    </row>
    <row r="1318" spans="1:12" x14ac:dyDescent="0.2">
      <c r="A1318" t="s">
        <v>34</v>
      </c>
      <c r="B1318" t="s">
        <v>70</v>
      </c>
      <c r="C1318" t="s">
        <v>194</v>
      </c>
      <c r="D1318" s="110">
        <v>5919.5</v>
      </c>
      <c r="I1318" s="110">
        <v>5919.5</v>
      </c>
    </row>
    <row r="1319" spans="1:12" x14ac:dyDescent="0.2">
      <c r="A1319" t="s">
        <v>34</v>
      </c>
      <c r="B1319" t="s">
        <v>110</v>
      </c>
      <c r="C1319" t="s">
        <v>191</v>
      </c>
      <c r="D1319" s="110">
        <v>18893</v>
      </c>
      <c r="E1319" s="110">
        <v>17782.25</v>
      </c>
      <c r="F1319" s="110">
        <v>17782.25</v>
      </c>
      <c r="G1319" s="110">
        <v>17782.25</v>
      </c>
      <c r="I1319" s="110">
        <v>5387</v>
      </c>
      <c r="J1319" s="110">
        <v>14669.25</v>
      </c>
      <c r="K1319" s="110">
        <v>16255.25</v>
      </c>
      <c r="L1319" s="110">
        <v>16535.25</v>
      </c>
    </row>
    <row r="1320" spans="1:12" x14ac:dyDescent="0.2">
      <c r="A1320" t="s">
        <v>34</v>
      </c>
      <c r="B1320" t="s">
        <v>110</v>
      </c>
      <c r="C1320" t="s">
        <v>192</v>
      </c>
      <c r="D1320" s="110">
        <v>18031.25</v>
      </c>
      <c r="E1320" s="110">
        <v>17734.25</v>
      </c>
      <c r="F1320" s="110">
        <v>17734.25</v>
      </c>
      <c r="I1320" s="110">
        <v>9343.25</v>
      </c>
      <c r="J1320" s="110">
        <v>15922.25</v>
      </c>
      <c r="K1320" s="110">
        <v>16530.25</v>
      </c>
    </row>
    <row r="1321" spans="1:12" x14ac:dyDescent="0.2">
      <c r="A1321" t="s">
        <v>34</v>
      </c>
      <c r="B1321" t="s">
        <v>110</v>
      </c>
      <c r="C1321" t="s">
        <v>193</v>
      </c>
      <c r="D1321" s="110">
        <v>16187.75</v>
      </c>
      <c r="E1321" s="110">
        <v>15515.25</v>
      </c>
      <c r="I1321" s="110">
        <v>7948.25</v>
      </c>
      <c r="J1321" s="110">
        <v>12762.25</v>
      </c>
    </row>
    <row r="1322" spans="1:12" x14ac:dyDescent="0.2">
      <c r="A1322" t="s">
        <v>34</v>
      </c>
      <c r="B1322" t="s">
        <v>110</v>
      </c>
      <c r="C1322" t="s">
        <v>194</v>
      </c>
      <c r="D1322" s="110">
        <v>12791.25</v>
      </c>
      <c r="I1322" s="110">
        <v>7038.25</v>
      </c>
    </row>
    <row r="1323" spans="1:12" x14ac:dyDescent="0.2">
      <c r="A1323" t="s">
        <v>35</v>
      </c>
      <c r="B1323" t="s">
        <v>104</v>
      </c>
      <c r="C1323" t="s">
        <v>191</v>
      </c>
      <c r="D1323" s="110">
        <v>1086561.5900000001</v>
      </c>
      <c r="E1323" s="110">
        <v>1083311.5900000001</v>
      </c>
      <c r="F1323" s="110">
        <v>1080047.0900000001</v>
      </c>
      <c r="G1323" s="110">
        <v>1078847.0900000001</v>
      </c>
      <c r="I1323" s="110">
        <v>21723.040000000001</v>
      </c>
      <c r="J1323" s="110">
        <v>47881.31</v>
      </c>
      <c r="K1323" s="110">
        <v>65274.86</v>
      </c>
      <c r="L1323" s="110">
        <v>77343.11</v>
      </c>
    </row>
    <row r="1324" spans="1:12" x14ac:dyDescent="0.2">
      <c r="A1324" t="s">
        <v>35</v>
      </c>
      <c r="B1324" t="s">
        <v>104</v>
      </c>
      <c r="C1324" t="s">
        <v>192</v>
      </c>
      <c r="D1324" s="110">
        <v>1471391.12</v>
      </c>
      <c r="E1324" s="110">
        <v>1363701.12</v>
      </c>
      <c r="F1324" s="110">
        <v>1362824.12</v>
      </c>
      <c r="I1324" s="110">
        <v>39677.599999999999</v>
      </c>
      <c r="J1324" s="110">
        <v>58250.27</v>
      </c>
      <c r="K1324" s="110">
        <v>73363</v>
      </c>
    </row>
    <row r="1325" spans="1:12" x14ac:dyDescent="0.2">
      <c r="A1325" t="s">
        <v>35</v>
      </c>
      <c r="B1325" t="s">
        <v>104</v>
      </c>
      <c r="C1325" t="s">
        <v>193</v>
      </c>
      <c r="D1325" s="110">
        <v>996608.92</v>
      </c>
      <c r="E1325" s="110">
        <v>992463.92</v>
      </c>
      <c r="I1325" s="110">
        <v>22073.09</v>
      </c>
      <c r="J1325" s="110">
        <v>38569.83</v>
      </c>
    </row>
    <row r="1326" spans="1:12" x14ac:dyDescent="0.2">
      <c r="A1326" t="s">
        <v>35</v>
      </c>
      <c r="B1326" t="s">
        <v>104</v>
      </c>
      <c r="C1326" t="s">
        <v>194</v>
      </c>
      <c r="D1326" s="110">
        <v>995606.5</v>
      </c>
      <c r="I1326" s="110">
        <v>44919.71</v>
      </c>
    </row>
    <row r="1327" spans="1:12" x14ac:dyDescent="0.2">
      <c r="A1327" t="s">
        <v>35</v>
      </c>
      <c r="B1327" t="s">
        <v>140</v>
      </c>
      <c r="C1327" t="s">
        <v>191</v>
      </c>
      <c r="D1327" s="110">
        <v>300000</v>
      </c>
      <c r="E1327" s="110">
        <v>300000</v>
      </c>
      <c r="F1327" s="110">
        <v>300000</v>
      </c>
      <c r="G1327" s="110">
        <v>300000</v>
      </c>
    </row>
    <row r="1328" spans="1:12" x14ac:dyDescent="0.2">
      <c r="A1328" t="s">
        <v>35</v>
      </c>
      <c r="B1328" t="s">
        <v>140</v>
      </c>
      <c r="C1328" t="s">
        <v>192</v>
      </c>
      <c r="D1328" s="110">
        <v>450000</v>
      </c>
      <c r="E1328" s="110">
        <v>450000</v>
      </c>
      <c r="F1328" s="110">
        <v>450000</v>
      </c>
      <c r="J1328" s="110">
        <v>702.14</v>
      </c>
      <c r="K1328" s="110">
        <v>702.14</v>
      </c>
    </row>
    <row r="1329" spans="1:12" x14ac:dyDescent="0.2">
      <c r="A1329" t="s">
        <v>35</v>
      </c>
      <c r="B1329" t="s">
        <v>140</v>
      </c>
      <c r="C1329" t="s">
        <v>193</v>
      </c>
      <c r="D1329" s="110">
        <v>150000</v>
      </c>
      <c r="E1329" s="110">
        <v>150000</v>
      </c>
    </row>
    <row r="1330" spans="1:12" x14ac:dyDescent="0.2">
      <c r="A1330" t="s">
        <v>35</v>
      </c>
      <c r="B1330" t="s">
        <v>140</v>
      </c>
      <c r="C1330" t="s">
        <v>194</v>
      </c>
      <c r="D1330" s="110">
        <v>150000</v>
      </c>
    </row>
    <row r="1331" spans="1:12" x14ac:dyDescent="0.2">
      <c r="A1331" t="s">
        <v>35</v>
      </c>
      <c r="B1331" t="s">
        <v>105</v>
      </c>
      <c r="C1331" t="s">
        <v>191</v>
      </c>
      <c r="D1331" s="110">
        <v>354144.85</v>
      </c>
      <c r="E1331" s="110">
        <v>346552.95</v>
      </c>
      <c r="F1331" s="110">
        <v>341347.6</v>
      </c>
      <c r="G1331" s="110">
        <v>340033.1</v>
      </c>
      <c r="I1331" s="110">
        <v>51254.5</v>
      </c>
      <c r="J1331" s="110">
        <v>86557.49</v>
      </c>
      <c r="K1331" s="110">
        <v>106383.96</v>
      </c>
      <c r="L1331" s="110">
        <v>116758.35</v>
      </c>
    </row>
    <row r="1332" spans="1:12" x14ac:dyDescent="0.2">
      <c r="A1332" t="s">
        <v>35</v>
      </c>
      <c r="B1332" t="s">
        <v>105</v>
      </c>
      <c r="C1332" t="s">
        <v>192</v>
      </c>
      <c r="D1332" s="110">
        <v>385358.69</v>
      </c>
      <c r="E1332" s="110">
        <v>376603.19</v>
      </c>
      <c r="F1332" s="110">
        <v>372305.69</v>
      </c>
      <c r="I1332" s="110">
        <v>65207.79</v>
      </c>
      <c r="J1332" s="110">
        <v>95785.56</v>
      </c>
      <c r="K1332" s="110">
        <v>115424.36</v>
      </c>
    </row>
    <row r="1333" spans="1:12" x14ac:dyDescent="0.2">
      <c r="A1333" t="s">
        <v>35</v>
      </c>
      <c r="B1333" t="s">
        <v>105</v>
      </c>
      <c r="C1333" t="s">
        <v>193</v>
      </c>
      <c r="D1333" s="110">
        <v>365657.95</v>
      </c>
      <c r="E1333" s="110">
        <v>358641.95</v>
      </c>
      <c r="I1333" s="110">
        <v>57870.26</v>
      </c>
      <c r="J1333" s="110">
        <v>88111.38</v>
      </c>
    </row>
    <row r="1334" spans="1:12" x14ac:dyDescent="0.2">
      <c r="A1334" t="s">
        <v>35</v>
      </c>
      <c r="B1334" t="s">
        <v>105</v>
      </c>
      <c r="C1334" t="s">
        <v>194</v>
      </c>
      <c r="D1334" s="110">
        <v>420349.58</v>
      </c>
      <c r="I1334" s="110">
        <v>66020.22</v>
      </c>
    </row>
    <row r="1335" spans="1:12" x14ac:dyDescent="0.2">
      <c r="A1335" t="s">
        <v>35</v>
      </c>
      <c r="B1335" t="s">
        <v>111</v>
      </c>
      <c r="C1335" t="s">
        <v>191</v>
      </c>
      <c r="D1335" s="110">
        <v>19247.5</v>
      </c>
      <c r="E1335" s="110">
        <v>19247.5</v>
      </c>
      <c r="F1335" s="110">
        <v>19103.29</v>
      </c>
      <c r="G1335" s="110">
        <v>19103.29</v>
      </c>
      <c r="I1335" s="110">
        <v>65.5</v>
      </c>
      <c r="J1335" s="110">
        <v>1107.55</v>
      </c>
      <c r="K1335" s="110">
        <v>1875.78</v>
      </c>
      <c r="L1335" s="110">
        <v>1875.78</v>
      </c>
    </row>
    <row r="1336" spans="1:12" x14ac:dyDescent="0.2">
      <c r="A1336" t="s">
        <v>35</v>
      </c>
      <c r="B1336" t="s">
        <v>111</v>
      </c>
      <c r="C1336" t="s">
        <v>192</v>
      </c>
      <c r="D1336" s="110">
        <v>69463</v>
      </c>
      <c r="E1336" s="110">
        <v>69463</v>
      </c>
      <c r="F1336" s="110">
        <v>69463</v>
      </c>
      <c r="I1336" s="110">
        <v>172</v>
      </c>
      <c r="J1336" s="110">
        <v>395</v>
      </c>
      <c r="K1336" s="110">
        <v>395</v>
      </c>
    </row>
    <row r="1337" spans="1:12" x14ac:dyDescent="0.2">
      <c r="A1337" t="s">
        <v>35</v>
      </c>
      <c r="B1337" t="s">
        <v>111</v>
      </c>
      <c r="C1337" t="s">
        <v>193</v>
      </c>
      <c r="D1337" s="110">
        <v>13800</v>
      </c>
      <c r="E1337" s="110">
        <v>13800</v>
      </c>
      <c r="I1337" s="110">
        <v>505</v>
      </c>
      <c r="J1337" s="110">
        <v>1931.43</v>
      </c>
    </row>
    <row r="1338" spans="1:12" x14ac:dyDescent="0.2">
      <c r="A1338" t="s">
        <v>35</v>
      </c>
      <c r="B1338" t="s">
        <v>111</v>
      </c>
      <c r="C1338" t="s">
        <v>194</v>
      </c>
      <c r="D1338" s="110">
        <v>11070.5</v>
      </c>
      <c r="I1338" s="110">
        <v>73.5</v>
      </c>
    </row>
    <row r="1339" spans="1:12" x14ac:dyDescent="0.2">
      <c r="A1339" t="s">
        <v>35</v>
      </c>
      <c r="B1339" t="s">
        <v>109</v>
      </c>
      <c r="C1339" t="s">
        <v>191</v>
      </c>
      <c r="D1339" s="110">
        <v>428556.18</v>
      </c>
      <c r="E1339" s="110">
        <v>426688.37</v>
      </c>
      <c r="F1339" s="110">
        <v>424244.87</v>
      </c>
      <c r="G1339" s="110">
        <v>415025.37</v>
      </c>
      <c r="I1339" s="110">
        <v>130409.94</v>
      </c>
      <c r="J1339" s="110">
        <v>180962.85</v>
      </c>
      <c r="K1339" s="110">
        <v>219228.63</v>
      </c>
      <c r="L1339" s="110">
        <v>240715.61</v>
      </c>
    </row>
    <row r="1340" spans="1:12" x14ac:dyDescent="0.2">
      <c r="A1340" t="s">
        <v>35</v>
      </c>
      <c r="B1340" t="s">
        <v>109</v>
      </c>
      <c r="C1340" t="s">
        <v>192</v>
      </c>
      <c r="D1340" s="110">
        <v>443012.5</v>
      </c>
      <c r="E1340" s="110">
        <v>439710.53</v>
      </c>
      <c r="F1340" s="110">
        <v>437332.53</v>
      </c>
      <c r="I1340" s="110">
        <v>150131.39000000001</v>
      </c>
      <c r="J1340" s="110">
        <v>205891.66</v>
      </c>
      <c r="K1340" s="110">
        <v>235449.22</v>
      </c>
    </row>
    <row r="1341" spans="1:12" x14ac:dyDescent="0.2">
      <c r="A1341" t="s">
        <v>35</v>
      </c>
      <c r="B1341" t="s">
        <v>109</v>
      </c>
      <c r="C1341" t="s">
        <v>193</v>
      </c>
      <c r="D1341" s="110">
        <v>470180.16</v>
      </c>
      <c r="E1341" s="110">
        <v>467491.16</v>
      </c>
      <c r="I1341" s="110">
        <v>159359.54</v>
      </c>
      <c r="J1341" s="110">
        <v>203719.08</v>
      </c>
    </row>
    <row r="1342" spans="1:12" x14ac:dyDescent="0.2">
      <c r="A1342" t="s">
        <v>35</v>
      </c>
      <c r="B1342" t="s">
        <v>109</v>
      </c>
      <c r="C1342" t="s">
        <v>194</v>
      </c>
      <c r="D1342" s="110">
        <v>419278.25</v>
      </c>
      <c r="I1342" s="110">
        <v>129272.41</v>
      </c>
    </row>
    <row r="1343" spans="1:12" x14ac:dyDescent="0.2">
      <c r="A1343" t="s">
        <v>35</v>
      </c>
      <c r="B1343" t="s">
        <v>106</v>
      </c>
      <c r="C1343" t="s">
        <v>191</v>
      </c>
      <c r="D1343" s="110">
        <v>298179.64</v>
      </c>
      <c r="E1343" s="110">
        <v>295074.64</v>
      </c>
      <c r="F1343" s="110">
        <v>295074.64</v>
      </c>
      <c r="G1343" s="110">
        <v>295074.64</v>
      </c>
      <c r="I1343" s="110">
        <v>291295.64</v>
      </c>
      <c r="J1343" s="110">
        <v>292911.64</v>
      </c>
      <c r="K1343" s="110">
        <v>292614.14</v>
      </c>
      <c r="L1343" s="110">
        <v>292614.14</v>
      </c>
    </row>
    <row r="1344" spans="1:12" x14ac:dyDescent="0.2">
      <c r="A1344" t="s">
        <v>35</v>
      </c>
      <c r="B1344" t="s">
        <v>106</v>
      </c>
      <c r="C1344" t="s">
        <v>192</v>
      </c>
      <c r="D1344" s="110">
        <v>413454.92</v>
      </c>
      <c r="E1344" s="110">
        <v>413454.92</v>
      </c>
      <c r="F1344" s="110">
        <v>413454.92</v>
      </c>
      <c r="I1344" s="110">
        <v>408082.07</v>
      </c>
      <c r="J1344" s="110">
        <v>410071.64</v>
      </c>
      <c r="K1344" s="110">
        <v>410270.14</v>
      </c>
    </row>
    <row r="1345" spans="1:12" x14ac:dyDescent="0.2">
      <c r="A1345" t="s">
        <v>35</v>
      </c>
      <c r="B1345" t="s">
        <v>106</v>
      </c>
      <c r="C1345" t="s">
        <v>193</v>
      </c>
      <c r="D1345" s="110">
        <v>525257.98</v>
      </c>
      <c r="E1345" s="110">
        <v>524857.98</v>
      </c>
      <c r="I1345" s="110">
        <v>516753.98</v>
      </c>
      <c r="J1345" s="110">
        <v>520789.48</v>
      </c>
    </row>
    <row r="1346" spans="1:12" x14ac:dyDescent="0.2">
      <c r="A1346" t="s">
        <v>35</v>
      </c>
      <c r="B1346" t="s">
        <v>106</v>
      </c>
      <c r="C1346" t="s">
        <v>194</v>
      </c>
      <c r="D1346" s="110">
        <v>497628.53</v>
      </c>
      <c r="I1346" s="110">
        <v>489307.54</v>
      </c>
    </row>
    <row r="1347" spans="1:12" x14ac:dyDescent="0.2">
      <c r="A1347" t="s">
        <v>35</v>
      </c>
      <c r="B1347" t="s">
        <v>107</v>
      </c>
      <c r="C1347" t="s">
        <v>191</v>
      </c>
      <c r="D1347" s="110">
        <v>328593.25</v>
      </c>
      <c r="E1347" s="110">
        <v>328573.25</v>
      </c>
      <c r="F1347" s="110">
        <v>328573.25</v>
      </c>
      <c r="G1347" s="110">
        <v>328573.25</v>
      </c>
      <c r="I1347" s="110">
        <v>327671.53000000003</v>
      </c>
      <c r="J1347" s="110">
        <v>327686.53000000003</v>
      </c>
      <c r="K1347" s="110">
        <v>327686.53000000003</v>
      </c>
      <c r="L1347" s="110">
        <v>327686.53000000003</v>
      </c>
    </row>
    <row r="1348" spans="1:12" x14ac:dyDescent="0.2">
      <c r="A1348" t="s">
        <v>35</v>
      </c>
      <c r="B1348" t="s">
        <v>107</v>
      </c>
      <c r="C1348" t="s">
        <v>192</v>
      </c>
      <c r="D1348" s="110">
        <v>320726.63</v>
      </c>
      <c r="E1348" s="110">
        <v>320401.63</v>
      </c>
      <c r="F1348" s="110">
        <v>320401.63</v>
      </c>
      <c r="I1348" s="110">
        <v>318248.88</v>
      </c>
      <c r="J1348" s="110">
        <v>318568.88</v>
      </c>
      <c r="K1348" s="110">
        <v>318568.88</v>
      </c>
    </row>
    <row r="1349" spans="1:12" x14ac:dyDescent="0.2">
      <c r="A1349" t="s">
        <v>35</v>
      </c>
      <c r="B1349" t="s">
        <v>107</v>
      </c>
      <c r="C1349" t="s">
        <v>193</v>
      </c>
      <c r="D1349" s="110">
        <v>408347.28</v>
      </c>
      <c r="E1349" s="110">
        <v>408052.28</v>
      </c>
      <c r="I1349" s="110">
        <v>407258.2</v>
      </c>
      <c r="J1349" s="110">
        <v>407361.7</v>
      </c>
    </row>
    <row r="1350" spans="1:12" x14ac:dyDescent="0.2">
      <c r="A1350" t="s">
        <v>35</v>
      </c>
      <c r="B1350" t="s">
        <v>107</v>
      </c>
      <c r="C1350" t="s">
        <v>194</v>
      </c>
      <c r="D1350" s="110">
        <v>470706.46</v>
      </c>
      <c r="I1350" s="110">
        <v>469751.44</v>
      </c>
    </row>
    <row r="1351" spans="1:12" x14ac:dyDescent="0.2">
      <c r="A1351" t="s">
        <v>35</v>
      </c>
      <c r="B1351" t="s">
        <v>108</v>
      </c>
      <c r="C1351" t="s">
        <v>191</v>
      </c>
      <c r="D1351" s="110">
        <v>114516.19</v>
      </c>
      <c r="E1351" s="110">
        <v>114171.19</v>
      </c>
      <c r="F1351" s="110">
        <v>114171.19</v>
      </c>
      <c r="G1351" s="110">
        <v>114171.19</v>
      </c>
      <c r="I1351" s="110">
        <v>111411.19</v>
      </c>
      <c r="J1351" s="110">
        <v>111411.19</v>
      </c>
      <c r="K1351" s="110">
        <v>111411.19</v>
      </c>
      <c r="L1351" s="110">
        <v>111411.19</v>
      </c>
    </row>
    <row r="1352" spans="1:12" x14ac:dyDescent="0.2">
      <c r="A1352" t="s">
        <v>35</v>
      </c>
      <c r="B1352" t="s">
        <v>108</v>
      </c>
      <c r="C1352" t="s">
        <v>192</v>
      </c>
      <c r="D1352" s="110">
        <v>128997.5</v>
      </c>
      <c r="E1352" s="110">
        <v>128597.5</v>
      </c>
      <c r="F1352" s="110">
        <v>128597.5</v>
      </c>
      <c r="I1352" s="110">
        <v>127542.5</v>
      </c>
      <c r="J1352" s="110">
        <v>127942.5</v>
      </c>
      <c r="K1352" s="110">
        <v>127942.5</v>
      </c>
    </row>
    <row r="1353" spans="1:12" x14ac:dyDescent="0.2">
      <c r="A1353" t="s">
        <v>35</v>
      </c>
      <c r="B1353" t="s">
        <v>108</v>
      </c>
      <c r="C1353" t="s">
        <v>193</v>
      </c>
      <c r="D1353" s="110">
        <v>125751</v>
      </c>
      <c r="E1353" s="110">
        <v>125520</v>
      </c>
      <c r="I1353" s="110">
        <v>124384.71</v>
      </c>
      <c r="J1353" s="110">
        <v>124385</v>
      </c>
    </row>
    <row r="1354" spans="1:12" x14ac:dyDescent="0.2">
      <c r="A1354" t="s">
        <v>35</v>
      </c>
      <c r="B1354" t="s">
        <v>108</v>
      </c>
      <c r="C1354" t="s">
        <v>194</v>
      </c>
      <c r="D1354" s="110">
        <v>129178.5</v>
      </c>
      <c r="I1354" s="110">
        <v>127603.5</v>
      </c>
    </row>
    <row r="1355" spans="1:12" x14ac:dyDescent="0.2">
      <c r="A1355" t="s">
        <v>35</v>
      </c>
      <c r="B1355" t="s">
        <v>70</v>
      </c>
      <c r="C1355" t="s">
        <v>191</v>
      </c>
      <c r="D1355" s="110">
        <v>183060.38</v>
      </c>
      <c r="E1355" s="110">
        <v>181145.38</v>
      </c>
      <c r="F1355" s="110">
        <v>180055.38</v>
      </c>
      <c r="G1355" s="110">
        <v>179657.88</v>
      </c>
      <c r="I1355" s="110">
        <v>159267.76999999999</v>
      </c>
      <c r="J1355" s="110">
        <v>165892.59</v>
      </c>
      <c r="K1355" s="110">
        <v>166096.59</v>
      </c>
      <c r="L1355" s="110">
        <v>166105.76999999999</v>
      </c>
    </row>
    <row r="1356" spans="1:12" x14ac:dyDescent="0.2">
      <c r="A1356" t="s">
        <v>35</v>
      </c>
      <c r="B1356" t="s">
        <v>70</v>
      </c>
      <c r="C1356" t="s">
        <v>192</v>
      </c>
      <c r="D1356" s="110">
        <v>185987.29</v>
      </c>
      <c r="E1356" s="110">
        <v>184667.29</v>
      </c>
      <c r="F1356" s="110">
        <v>184367.29</v>
      </c>
      <c r="I1356" s="110">
        <v>166237.39000000001</v>
      </c>
      <c r="J1356" s="110">
        <v>171988.53</v>
      </c>
      <c r="K1356" s="110">
        <v>172159.35</v>
      </c>
    </row>
    <row r="1357" spans="1:12" x14ac:dyDescent="0.2">
      <c r="A1357" t="s">
        <v>35</v>
      </c>
      <c r="B1357" t="s">
        <v>70</v>
      </c>
      <c r="C1357" t="s">
        <v>193</v>
      </c>
      <c r="D1357" s="110">
        <v>193470.34</v>
      </c>
      <c r="E1357" s="110">
        <v>190802.84</v>
      </c>
      <c r="I1357" s="110">
        <v>169998.48</v>
      </c>
      <c r="J1357" s="110">
        <v>175609.84</v>
      </c>
    </row>
    <row r="1358" spans="1:12" x14ac:dyDescent="0.2">
      <c r="A1358" t="s">
        <v>35</v>
      </c>
      <c r="B1358" t="s">
        <v>70</v>
      </c>
      <c r="C1358" t="s">
        <v>194</v>
      </c>
      <c r="D1358" s="110">
        <v>188689.25</v>
      </c>
      <c r="I1358" s="110">
        <v>157655.84</v>
      </c>
    </row>
    <row r="1359" spans="1:12" x14ac:dyDescent="0.2">
      <c r="A1359" t="s">
        <v>35</v>
      </c>
      <c r="B1359" t="s">
        <v>110</v>
      </c>
      <c r="C1359" t="s">
        <v>191</v>
      </c>
      <c r="D1359" s="110">
        <v>1070553.04</v>
      </c>
      <c r="E1359" s="110">
        <v>1044231.09</v>
      </c>
      <c r="F1359" s="110">
        <v>1042390.09</v>
      </c>
      <c r="G1359" s="110">
        <v>1041873.09</v>
      </c>
      <c r="I1359" s="110">
        <v>520279.93</v>
      </c>
      <c r="J1359" s="110">
        <v>891908.68</v>
      </c>
      <c r="K1359" s="110">
        <v>938284.25</v>
      </c>
      <c r="L1359" s="110">
        <v>958911.25</v>
      </c>
    </row>
    <row r="1360" spans="1:12" x14ac:dyDescent="0.2">
      <c r="A1360" t="s">
        <v>35</v>
      </c>
      <c r="B1360" t="s">
        <v>110</v>
      </c>
      <c r="C1360" t="s">
        <v>192</v>
      </c>
      <c r="D1360" s="110">
        <v>1169867.32</v>
      </c>
      <c r="E1360" s="110">
        <v>1149734.3799999999</v>
      </c>
      <c r="F1360" s="110">
        <v>1149274.3799999999</v>
      </c>
      <c r="I1360" s="110">
        <v>632629.71</v>
      </c>
      <c r="J1360" s="110">
        <v>990291.16</v>
      </c>
      <c r="K1360" s="110">
        <v>1045757.81</v>
      </c>
    </row>
    <row r="1361" spans="1:12" x14ac:dyDescent="0.2">
      <c r="A1361" t="s">
        <v>35</v>
      </c>
      <c r="B1361" t="s">
        <v>110</v>
      </c>
      <c r="C1361" t="s">
        <v>193</v>
      </c>
      <c r="D1361" s="110">
        <v>1269659.18</v>
      </c>
      <c r="E1361" s="110">
        <v>1237635.3799999999</v>
      </c>
      <c r="I1361" s="110">
        <v>619484.04</v>
      </c>
      <c r="J1361" s="110">
        <v>1034428.64</v>
      </c>
    </row>
    <row r="1362" spans="1:12" x14ac:dyDescent="0.2">
      <c r="A1362" t="s">
        <v>35</v>
      </c>
      <c r="B1362" t="s">
        <v>110</v>
      </c>
      <c r="C1362" t="s">
        <v>194</v>
      </c>
      <c r="D1362" s="110">
        <v>1175386.67</v>
      </c>
      <c r="I1362" s="110">
        <v>553155.16</v>
      </c>
    </row>
    <row r="1363" spans="1:12" x14ac:dyDescent="0.2">
      <c r="A1363" t="s">
        <v>36</v>
      </c>
      <c r="B1363" t="s">
        <v>104</v>
      </c>
      <c r="C1363" t="s">
        <v>191</v>
      </c>
      <c r="D1363" s="110">
        <v>704078</v>
      </c>
      <c r="E1363" s="110">
        <v>703722</v>
      </c>
      <c r="F1363" s="110">
        <v>702562</v>
      </c>
      <c r="G1363" s="110">
        <v>700686</v>
      </c>
      <c r="I1363" s="110">
        <v>22082</v>
      </c>
      <c r="J1363" s="110">
        <v>64622</v>
      </c>
      <c r="K1363" s="110">
        <v>93354</v>
      </c>
      <c r="L1363" s="110">
        <v>112921</v>
      </c>
    </row>
    <row r="1364" spans="1:12" x14ac:dyDescent="0.2">
      <c r="A1364" t="s">
        <v>36</v>
      </c>
      <c r="B1364" t="s">
        <v>104</v>
      </c>
      <c r="C1364" t="s">
        <v>192</v>
      </c>
      <c r="D1364" s="110">
        <v>1166184</v>
      </c>
      <c r="E1364" s="110">
        <v>1161828</v>
      </c>
      <c r="F1364" s="110">
        <v>1160135</v>
      </c>
      <c r="I1364" s="110">
        <v>29782</v>
      </c>
      <c r="J1364" s="110">
        <v>67276</v>
      </c>
      <c r="K1364" s="110">
        <v>91195</v>
      </c>
    </row>
    <row r="1365" spans="1:12" x14ac:dyDescent="0.2">
      <c r="A1365" t="s">
        <v>36</v>
      </c>
      <c r="B1365" t="s">
        <v>104</v>
      </c>
      <c r="C1365" t="s">
        <v>193</v>
      </c>
      <c r="D1365" s="110">
        <v>1491388</v>
      </c>
      <c r="E1365" s="110">
        <v>1464588</v>
      </c>
      <c r="I1365" s="110">
        <v>36645</v>
      </c>
      <c r="J1365" s="110">
        <v>85118</v>
      </c>
    </row>
    <row r="1366" spans="1:12" x14ac:dyDescent="0.2">
      <c r="A1366" t="s">
        <v>36</v>
      </c>
      <c r="B1366" t="s">
        <v>104</v>
      </c>
      <c r="C1366" t="s">
        <v>194</v>
      </c>
      <c r="D1366" s="110">
        <v>885736</v>
      </c>
      <c r="I1366" s="110">
        <v>34179</v>
      </c>
    </row>
    <row r="1367" spans="1:12" x14ac:dyDescent="0.2">
      <c r="A1367" t="s">
        <v>36</v>
      </c>
      <c r="B1367" t="s">
        <v>140</v>
      </c>
      <c r="C1367" t="s">
        <v>191</v>
      </c>
      <c r="D1367" s="110">
        <v>238303</v>
      </c>
      <c r="E1367" s="110">
        <v>238303</v>
      </c>
      <c r="F1367" s="110">
        <v>238303</v>
      </c>
      <c r="G1367" s="110">
        <v>238300</v>
      </c>
      <c r="I1367" s="110">
        <v>649</v>
      </c>
      <c r="J1367" s="110">
        <v>367</v>
      </c>
      <c r="K1367" s="110">
        <v>4849</v>
      </c>
      <c r="L1367" s="110">
        <v>6423</v>
      </c>
    </row>
    <row r="1368" spans="1:12" x14ac:dyDescent="0.2">
      <c r="A1368" t="s">
        <v>36</v>
      </c>
      <c r="B1368" t="s">
        <v>140</v>
      </c>
      <c r="C1368" t="s">
        <v>192</v>
      </c>
      <c r="D1368" s="110">
        <v>617203</v>
      </c>
      <c r="E1368" s="110">
        <v>616408</v>
      </c>
      <c r="F1368" s="110">
        <v>616304</v>
      </c>
      <c r="I1368" s="110">
        <v>1488</v>
      </c>
      <c r="J1368" s="110">
        <v>3840</v>
      </c>
      <c r="K1368" s="110">
        <v>6927</v>
      </c>
    </row>
    <row r="1369" spans="1:12" x14ac:dyDescent="0.2">
      <c r="A1369" t="s">
        <v>36</v>
      </c>
      <c r="B1369" t="s">
        <v>140</v>
      </c>
      <c r="C1369" t="s">
        <v>193</v>
      </c>
      <c r="D1369" s="110">
        <v>288710</v>
      </c>
      <c r="E1369" s="110">
        <v>262453</v>
      </c>
      <c r="I1369" s="110">
        <v>3480</v>
      </c>
      <c r="J1369" s="110">
        <v>10566</v>
      </c>
    </row>
    <row r="1370" spans="1:12" x14ac:dyDescent="0.2">
      <c r="A1370" t="s">
        <v>36</v>
      </c>
      <c r="B1370" t="s">
        <v>140</v>
      </c>
      <c r="C1370" t="s">
        <v>194</v>
      </c>
      <c r="D1370" s="110">
        <v>317281</v>
      </c>
      <c r="I1370" s="110">
        <v>3210</v>
      </c>
    </row>
    <row r="1371" spans="1:12" x14ac:dyDescent="0.2">
      <c r="A1371" t="s">
        <v>36</v>
      </c>
      <c r="B1371" t="s">
        <v>105</v>
      </c>
      <c r="C1371" t="s">
        <v>191</v>
      </c>
      <c r="D1371" s="110">
        <v>472260</v>
      </c>
      <c r="E1371" s="110">
        <v>458806</v>
      </c>
      <c r="F1371" s="110">
        <v>453037</v>
      </c>
      <c r="G1371" s="110">
        <v>451374</v>
      </c>
      <c r="I1371" s="110">
        <v>75268</v>
      </c>
      <c r="J1371" s="110">
        <v>143297</v>
      </c>
      <c r="K1371" s="110">
        <v>186214</v>
      </c>
      <c r="L1371" s="110">
        <v>205792</v>
      </c>
    </row>
    <row r="1372" spans="1:12" x14ac:dyDescent="0.2">
      <c r="A1372" t="s">
        <v>36</v>
      </c>
      <c r="B1372" t="s">
        <v>105</v>
      </c>
      <c r="C1372" t="s">
        <v>192</v>
      </c>
      <c r="D1372" s="110">
        <v>499382</v>
      </c>
      <c r="E1372" s="110">
        <v>477930</v>
      </c>
      <c r="F1372" s="110">
        <v>473148</v>
      </c>
      <c r="I1372" s="110">
        <v>93050</v>
      </c>
      <c r="J1372" s="110">
        <v>154209</v>
      </c>
      <c r="K1372" s="110">
        <v>199309</v>
      </c>
    </row>
    <row r="1373" spans="1:12" x14ac:dyDescent="0.2">
      <c r="A1373" t="s">
        <v>36</v>
      </c>
      <c r="B1373" t="s">
        <v>105</v>
      </c>
      <c r="C1373" t="s">
        <v>193</v>
      </c>
      <c r="D1373" s="110">
        <v>508223</v>
      </c>
      <c r="E1373" s="110">
        <v>491956</v>
      </c>
      <c r="I1373" s="110">
        <v>95313</v>
      </c>
      <c r="J1373" s="110">
        <v>161197</v>
      </c>
    </row>
    <row r="1374" spans="1:12" x14ac:dyDescent="0.2">
      <c r="A1374" t="s">
        <v>36</v>
      </c>
      <c r="B1374" t="s">
        <v>105</v>
      </c>
      <c r="C1374" t="s">
        <v>194</v>
      </c>
      <c r="D1374" s="110">
        <v>473308</v>
      </c>
      <c r="I1374" s="110">
        <v>80884</v>
      </c>
    </row>
    <row r="1375" spans="1:12" x14ac:dyDescent="0.2">
      <c r="A1375" t="s">
        <v>36</v>
      </c>
      <c r="B1375" t="s">
        <v>111</v>
      </c>
      <c r="C1375" t="s">
        <v>191</v>
      </c>
      <c r="D1375" s="110">
        <v>19984</v>
      </c>
      <c r="E1375" s="110">
        <v>19984</v>
      </c>
      <c r="F1375" s="110">
        <v>19984</v>
      </c>
      <c r="G1375" s="110">
        <v>19984</v>
      </c>
      <c r="I1375" s="110">
        <v>2058</v>
      </c>
      <c r="J1375" s="110">
        <v>3472</v>
      </c>
      <c r="K1375" s="110">
        <v>3990</v>
      </c>
      <c r="L1375" s="110">
        <v>4010</v>
      </c>
    </row>
    <row r="1376" spans="1:12" x14ac:dyDescent="0.2">
      <c r="A1376" t="s">
        <v>36</v>
      </c>
      <c r="B1376" t="s">
        <v>111</v>
      </c>
      <c r="C1376" t="s">
        <v>192</v>
      </c>
      <c r="D1376" s="110">
        <v>29547</v>
      </c>
      <c r="E1376" s="110">
        <v>29547</v>
      </c>
      <c r="F1376" s="110">
        <v>29547</v>
      </c>
      <c r="I1376" s="110">
        <v>1678</v>
      </c>
      <c r="J1376" s="110">
        <v>3366</v>
      </c>
      <c r="K1376" s="110">
        <v>3992</v>
      </c>
    </row>
    <row r="1377" spans="1:12" x14ac:dyDescent="0.2">
      <c r="A1377" t="s">
        <v>36</v>
      </c>
      <c r="B1377" t="s">
        <v>111</v>
      </c>
      <c r="C1377" t="s">
        <v>193</v>
      </c>
      <c r="D1377" s="110">
        <v>24521</v>
      </c>
      <c r="E1377" s="110">
        <v>24521</v>
      </c>
      <c r="I1377" s="110">
        <v>1077</v>
      </c>
      <c r="J1377" s="110">
        <v>1697</v>
      </c>
    </row>
    <row r="1378" spans="1:12" x14ac:dyDescent="0.2">
      <c r="A1378" t="s">
        <v>36</v>
      </c>
      <c r="B1378" t="s">
        <v>111</v>
      </c>
      <c r="C1378" t="s">
        <v>194</v>
      </c>
      <c r="D1378" s="110">
        <v>26378</v>
      </c>
      <c r="I1378" s="110">
        <v>1144</v>
      </c>
    </row>
    <row r="1379" spans="1:12" x14ac:dyDescent="0.2">
      <c r="A1379" t="s">
        <v>36</v>
      </c>
      <c r="B1379" t="s">
        <v>109</v>
      </c>
      <c r="C1379" t="s">
        <v>191</v>
      </c>
      <c r="D1379" s="110">
        <v>970312</v>
      </c>
      <c r="E1379" s="110">
        <v>964073</v>
      </c>
      <c r="F1379" s="110">
        <v>958462</v>
      </c>
      <c r="G1379" s="110">
        <v>957130</v>
      </c>
      <c r="I1379" s="110">
        <v>303872</v>
      </c>
      <c r="J1379" s="110">
        <v>480930</v>
      </c>
      <c r="K1379" s="110">
        <v>560738</v>
      </c>
      <c r="L1379" s="110">
        <v>631084</v>
      </c>
    </row>
    <row r="1380" spans="1:12" x14ac:dyDescent="0.2">
      <c r="A1380" t="s">
        <v>36</v>
      </c>
      <c r="B1380" t="s">
        <v>109</v>
      </c>
      <c r="C1380" t="s">
        <v>192</v>
      </c>
      <c r="D1380" s="110">
        <v>962037</v>
      </c>
      <c r="E1380" s="110">
        <v>955431</v>
      </c>
      <c r="F1380" s="110">
        <v>949766</v>
      </c>
      <c r="I1380" s="110">
        <v>332663</v>
      </c>
      <c r="J1380" s="110">
        <v>472608</v>
      </c>
      <c r="K1380" s="110">
        <v>566573</v>
      </c>
    </row>
    <row r="1381" spans="1:12" x14ac:dyDescent="0.2">
      <c r="A1381" t="s">
        <v>36</v>
      </c>
      <c r="B1381" t="s">
        <v>109</v>
      </c>
      <c r="C1381" t="s">
        <v>193</v>
      </c>
      <c r="D1381" s="110">
        <v>991921</v>
      </c>
      <c r="E1381" s="110">
        <v>983237</v>
      </c>
      <c r="I1381" s="110">
        <v>350638</v>
      </c>
      <c r="J1381" s="110">
        <v>478507</v>
      </c>
    </row>
    <row r="1382" spans="1:12" x14ac:dyDescent="0.2">
      <c r="A1382" t="s">
        <v>36</v>
      </c>
      <c r="B1382" t="s">
        <v>109</v>
      </c>
      <c r="C1382" t="s">
        <v>194</v>
      </c>
      <c r="D1382" s="110">
        <v>935915</v>
      </c>
      <c r="I1382" s="110">
        <v>320982</v>
      </c>
    </row>
    <row r="1383" spans="1:12" x14ac:dyDescent="0.2">
      <c r="A1383" t="s">
        <v>36</v>
      </c>
      <c r="B1383" t="s">
        <v>106</v>
      </c>
      <c r="C1383" t="s">
        <v>191</v>
      </c>
      <c r="D1383" s="110">
        <v>661333</v>
      </c>
      <c r="E1383" s="110">
        <v>658290</v>
      </c>
      <c r="F1383" s="110">
        <v>658290</v>
      </c>
      <c r="G1383" s="110">
        <v>657335</v>
      </c>
      <c r="I1383" s="110">
        <v>648386</v>
      </c>
      <c r="J1383" s="110">
        <v>648141</v>
      </c>
      <c r="K1383" s="110">
        <v>648256</v>
      </c>
      <c r="L1383" s="110">
        <v>647331</v>
      </c>
    </row>
    <row r="1384" spans="1:12" x14ac:dyDescent="0.2">
      <c r="A1384" t="s">
        <v>36</v>
      </c>
      <c r="B1384" t="s">
        <v>106</v>
      </c>
      <c r="C1384" t="s">
        <v>192</v>
      </c>
      <c r="D1384" s="110">
        <v>935910</v>
      </c>
      <c r="E1384" s="110">
        <v>934473</v>
      </c>
      <c r="F1384" s="110">
        <v>934463</v>
      </c>
      <c r="I1384" s="110">
        <v>920876</v>
      </c>
      <c r="J1384" s="110">
        <v>925191</v>
      </c>
      <c r="K1384" s="110">
        <v>925553</v>
      </c>
    </row>
    <row r="1385" spans="1:12" x14ac:dyDescent="0.2">
      <c r="A1385" t="s">
        <v>36</v>
      </c>
      <c r="B1385" t="s">
        <v>106</v>
      </c>
      <c r="C1385" t="s">
        <v>193</v>
      </c>
      <c r="D1385" s="110">
        <v>1240313</v>
      </c>
      <c r="E1385" s="110">
        <v>1238258</v>
      </c>
      <c r="I1385" s="110">
        <v>1217869</v>
      </c>
      <c r="J1385" s="110">
        <v>1223830</v>
      </c>
    </row>
    <row r="1386" spans="1:12" x14ac:dyDescent="0.2">
      <c r="A1386" t="s">
        <v>36</v>
      </c>
      <c r="B1386" t="s">
        <v>106</v>
      </c>
      <c r="C1386" t="s">
        <v>194</v>
      </c>
      <c r="D1386" s="110">
        <v>1166473</v>
      </c>
      <c r="I1386" s="110">
        <v>1152856</v>
      </c>
    </row>
    <row r="1387" spans="1:12" x14ac:dyDescent="0.2">
      <c r="A1387" t="s">
        <v>36</v>
      </c>
      <c r="B1387" t="s">
        <v>107</v>
      </c>
      <c r="C1387" t="s">
        <v>191</v>
      </c>
      <c r="D1387" s="110">
        <v>685268</v>
      </c>
      <c r="E1387" s="110">
        <v>683987</v>
      </c>
      <c r="F1387" s="110">
        <v>683987</v>
      </c>
      <c r="G1387" s="110">
        <v>683706</v>
      </c>
      <c r="I1387" s="110">
        <v>683140</v>
      </c>
      <c r="J1387" s="110">
        <v>682756</v>
      </c>
      <c r="K1387" s="110">
        <v>682856</v>
      </c>
      <c r="L1387" s="110">
        <v>682892</v>
      </c>
    </row>
    <row r="1388" spans="1:12" x14ac:dyDescent="0.2">
      <c r="A1388" t="s">
        <v>36</v>
      </c>
      <c r="B1388" t="s">
        <v>107</v>
      </c>
      <c r="C1388" t="s">
        <v>192</v>
      </c>
      <c r="D1388" s="110">
        <v>741965</v>
      </c>
      <c r="E1388" s="110">
        <v>741068</v>
      </c>
      <c r="F1388" s="110">
        <v>740748</v>
      </c>
      <c r="I1388" s="110">
        <v>739345</v>
      </c>
      <c r="J1388" s="110">
        <v>739638</v>
      </c>
      <c r="K1388" s="110">
        <v>739858</v>
      </c>
    </row>
    <row r="1389" spans="1:12" x14ac:dyDescent="0.2">
      <c r="A1389" t="s">
        <v>36</v>
      </c>
      <c r="B1389" t="s">
        <v>107</v>
      </c>
      <c r="C1389" t="s">
        <v>193</v>
      </c>
      <c r="D1389" s="110">
        <v>802417</v>
      </c>
      <c r="E1389" s="110">
        <v>800620</v>
      </c>
      <c r="I1389" s="110">
        <v>798535</v>
      </c>
      <c r="J1389" s="110">
        <v>798330</v>
      </c>
    </row>
    <row r="1390" spans="1:12" x14ac:dyDescent="0.2">
      <c r="A1390" t="s">
        <v>36</v>
      </c>
      <c r="B1390" t="s">
        <v>107</v>
      </c>
      <c r="C1390" t="s">
        <v>194</v>
      </c>
      <c r="D1390" s="110">
        <v>886280</v>
      </c>
      <c r="I1390" s="110">
        <v>884102</v>
      </c>
    </row>
    <row r="1391" spans="1:12" x14ac:dyDescent="0.2">
      <c r="A1391" t="s">
        <v>36</v>
      </c>
      <c r="B1391" t="s">
        <v>108</v>
      </c>
      <c r="C1391" t="s">
        <v>191</v>
      </c>
      <c r="D1391" s="110">
        <v>267375</v>
      </c>
      <c r="E1391" s="110">
        <v>267540</v>
      </c>
      <c r="F1391" s="110">
        <v>267540</v>
      </c>
      <c r="G1391" s="110">
        <v>267540</v>
      </c>
      <c r="I1391" s="110">
        <v>266425</v>
      </c>
      <c r="J1391" s="110">
        <v>267322</v>
      </c>
      <c r="K1391" s="110">
        <v>267407</v>
      </c>
      <c r="L1391" s="110">
        <v>267407</v>
      </c>
    </row>
    <row r="1392" spans="1:12" x14ac:dyDescent="0.2">
      <c r="A1392" t="s">
        <v>36</v>
      </c>
      <c r="B1392" t="s">
        <v>108</v>
      </c>
      <c r="C1392" t="s">
        <v>192</v>
      </c>
      <c r="D1392" s="110">
        <v>307265</v>
      </c>
      <c r="E1392" s="110">
        <v>305350</v>
      </c>
      <c r="F1392" s="110">
        <v>304715</v>
      </c>
      <c r="I1392" s="110">
        <v>303832</v>
      </c>
      <c r="J1392" s="110">
        <v>304504</v>
      </c>
      <c r="K1392" s="110">
        <v>304119</v>
      </c>
    </row>
    <row r="1393" spans="1:12" x14ac:dyDescent="0.2">
      <c r="A1393" t="s">
        <v>36</v>
      </c>
      <c r="B1393" t="s">
        <v>108</v>
      </c>
      <c r="C1393" t="s">
        <v>193</v>
      </c>
      <c r="D1393" s="110">
        <v>281091</v>
      </c>
      <c r="E1393" s="110">
        <v>281489</v>
      </c>
      <c r="I1393" s="110">
        <v>277452</v>
      </c>
      <c r="J1393" s="110">
        <v>279101</v>
      </c>
    </row>
    <row r="1394" spans="1:12" x14ac:dyDescent="0.2">
      <c r="A1394" t="s">
        <v>36</v>
      </c>
      <c r="B1394" t="s">
        <v>108</v>
      </c>
      <c r="C1394" t="s">
        <v>194</v>
      </c>
      <c r="D1394" s="110">
        <v>280795</v>
      </c>
      <c r="I1394" s="110">
        <v>278267</v>
      </c>
    </row>
    <row r="1395" spans="1:12" x14ac:dyDescent="0.2">
      <c r="A1395" t="s">
        <v>36</v>
      </c>
      <c r="B1395" t="s">
        <v>70</v>
      </c>
      <c r="C1395" t="s">
        <v>191</v>
      </c>
      <c r="D1395" s="110">
        <v>446658</v>
      </c>
      <c r="E1395" s="110">
        <v>437295</v>
      </c>
      <c r="F1395" s="110">
        <v>434523</v>
      </c>
      <c r="G1395" s="110">
        <v>433654</v>
      </c>
      <c r="I1395" s="110">
        <v>412407</v>
      </c>
      <c r="J1395" s="110">
        <v>416966</v>
      </c>
      <c r="K1395" s="110">
        <v>417638</v>
      </c>
      <c r="L1395" s="110">
        <v>417239</v>
      </c>
    </row>
    <row r="1396" spans="1:12" x14ac:dyDescent="0.2">
      <c r="A1396" t="s">
        <v>36</v>
      </c>
      <c r="B1396" t="s">
        <v>70</v>
      </c>
      <c r="C1396" t="s">
        <v>192</v>
      </c>
      <c r="D1396" s="110">
        <v>452486</v>
      </c>
      <c r="E1396" s="110">
        <v>442048</v>
      </c>
      <c r="F1396" s="110">
        <v>440605</v>
      </c>
      <c r="I1396" s="110">
        <v>419878</v>
      </c>
      <c r="J1396" s="110">
        <v>422158</v>
      </c>
      <c r="K1396" s="110">
        <v>423146</v>
      </c>
    </row>
    <row r="1397" spans="1:12" x14ac:dyDescent="0.2">
      <c r="A1397" t="s">
        <v>36</v>
      </c>
      <c r="B1397" t="s">
        <v>70</v>
      </c>
      <c r="C1397" t="s">
        <v>193</v>
      </c>
      <c r="D1397" s="110">
        <v>482398</v>
      </c>
      <c r="E1397" s="110">
        <v>476164</v>
      </c>
      <c r="I1397" s="110">
        <v>452480</v>
      </c>
      <c r="J1397" s="110">
        <v>454259</v>
      </c>
    </row>
    <row r="1398" spans="1:12" x14ac:dyDescent="0.2">
      <c r="A1398" t="s">
        <v>36</v>
      </c>
      <c r="B1398" t="s">
        <v>70</v>
      </c>
      <c r="C1398" t="s">
        <v>194</v>
      </c>
      <c r="D1398" s="110">
        <v>461971</v>
      </c>
      <c r="I1398" s="110">
        <v>426962</v>
      </c>
    </row>
    <row r="1399" spans="1:12" x14ac:dyDescent="0.2">
      <c r="A1399" t="s">
        <v>36</v>
      </c>
      <c r="B1399" t="s">
        <v>110</v>
      </c>
      <c r="C1399" t="s">
        <v>191</v>
      </c>
      <c r="D1399" s="110">
        <v>5725021</v>
      </c>
      <c r="E1399" s="110">
        <v>4483824</v>
      </c>
      <c r="F1399" s="110">
        <v>4227581</v>
      </c>
      <c r="G1399" s="110">
        <v>4145952</v>
      </c>
      <c r="I1399" s="110">
        <v>1838068</v>
      </c>
      <c r="J1399" s="110">
        <v>2657697</v>
      </c>
      <c r="K1399" s="110">
        <v>2853163</v>
      </c>
      <c r="L1399" s="110">
        <v>2941945</v>
      </c>
    </row>
    <row r="1400" spans="1:12" x14ac:dyDescent="0.2">
      <c r="A1400" t="s">
        <v>36</v>
      </c>
      <c r="B1400" t="s">
        <v>110</v>
      </c>
      <c r="C1400" t="s">
        <v>192</v>
      </c>
      <c r="D1400" s="110">
        <v>5507604</v>
      </c>
      <c r="E1400" s="110">
        <v>4289795</v>
      </c>
      <c r="F1400" s="110">
        <v>4065518</v>
      </c>
      <c r="I1400" s="110">
        <v>2024953</v>
      </c>
      <c r="J1400" s="110">
        <v>2767225</v>
      </c>
      <c r="K1400" s="110">
        <v>2921973</v>
      </c>
    </row>
    <row r="1401" spans="1:12" x14ac:dyDescent="0.2">
      <c r="A1401" t="s">
        <v>36</v>
      </c>
      <c r="B1401" t="s">
        <v>110</v>
      </c>
      <c r="C1401" t="s">
        <v>193</v>
      </c>
      <c r="D1401" s="110">
        <v>5334472</v>
      </c>
      <c r="E1401" s="110">
        <v>4168489</v>
      </c>
      <c r="I1401" s="110">
        <v>1860336</v>
      </c>
      <c r="J1401" s="110">
        <v>2578420</v>
      </c>
    </row>
    <row r="1402" spans="1:12" x14ac:dyDescent="0.2">
      <c r="A1402" t="s">
        <v>36</v>
      </c>
      <c r="B1402" t="s">
        <v>110</v>
      </c>
      <c r="C1402" t="s">
        <v>194</v>
      </c>
      <c r="D1402" s="110">
        <v>4900668</v>
      </c>
      <c r="I1402" s="110">
        <v>1749047</v>
      </c>
    </row>
    <row r="1403" spans="1:12" x14ac:dyDescent="0.2">
      <c r="A1403" t="s">
        <v>37</v>
      </c>
      <c r="B1403" t="s">
        <v>104</v>
      </c>
      <c r="C1403" t="s">
        <v>191</v>
      </c>
      <c r="D1403" s="110">
        <v>860067.45</v>
      </c>
      <c r="E1403" s="110">
        <v>1115872.3</v>
      </c>
      <c r="F1403" s="110">
        <v>1113882.5</v>
      </c>
      <c r="G1403" s="110">
        <v>1108404.3899999999</v>
      </c>
      <c r="I1403" s="110">
        <v>94022.09</v>
      </c>
      <c r="J1403" s="110">
        <v>126584.27</v>
      </c>
      <c r="K1403" s="110">
        <v>153255.43</v>
      </c>
      <c r="L1403" s="110">
        <v>176242.74</v>
      </c>
    </row>
    <row r="1404" spans="1:12" x14ac:dyDescent="0.2">
      <c r="A1404" t="s">
        <v>37</v>
      </c>
      <c r="B1404" t="s">
        <v>104</v>
      </c>
      <c r="C1404" t="s">
        <v>192</v>
      </c>
      <c r="D1404" s="110">
        <v>1000589.63</v>
      </c>
      <c r="E1404" s="110">
        <v>1086883.24</v>
      </c>
      <c r="F1404" s="110">
        <v>1083527.46</v>
      </c>
      <c r="I1404" s="110">
        <v>62312.83</v>
      </c>
      <c r="J1404" s="110">
        <v>87228.6</v>
      </c>
      <c r="K1404" s="110">
        <v>108650.63</v>
      </c>
    </row>
    <row r="1405" spans="1:12" x14ac:dyDescent="0.2">
      <c r="A1405" t="s">
        <v>37</v>
      </c>
      <c r="B1405" t="s">
        <v>104</v>
      </c>
      <c r="C1405" t="s">
        <v>193</v>
      </c>
      <c r="D1405" s="110">
        <v>1214634.48</v>
      </c>
      <c r="E1405" s="110">
        <v>1208950.18</v>
      </c>
      <c r="I1405" s="110">
        <v>126121.94</v>
      </c>
      <c r="J1405" s="110">
        <v>151953.84</v>
      </c>
    </row>
    <row r="1406" spans="1:12" x14ac:dyDescent="0.2">
      <c r="A1406" t="s">
        <v>37</v>
      </c>
      <c r="B1406" t="s">
        <v>104</v>
      </c>
      <c r="C1406" t="s">
        <v>194</v>
      </c>
      <c r="D1406" s="110">
        <v>1079581.8799999999</v>
      </c>
      <c r="I1406" s="110">
        <v>134471.37</v>
      </c>
    </row>
    <row r="1407" spans="1:12" x14ac:dyDescent="0.2">
      <c r="A1407" t="s">
        <v>37</v>
      </c>
      <c r="B1407" t="s">
        <v>140</v>
      </c>
      <c r="C1407" t="s">
        <v>191</v>
      </c>
      <c r="D1407" s="110">
        <v>64187.53</v>
      </c>
      <c r="E1407" s="110">
        <v>64386.53</v>
      </c>
      <c r="F1407" s="110">
        <v>64386.53</v>
      </c>
      <c r="G1407" s="110">
        <v>64386.53</v>
      </c>
      <c r="I1407" s="110">
        <v>861</v>
      </c>
      <c r="J1407" s="110">
        <v>1337</v>
      </c>
      <c r="K1407" s="110">
        <v>1637.2</v>
      </c>
      <c r="L1407" s="110">
        <v>1687.2</v>
      </c>
    </row>
    <row r="1408" spans="1:12" x14ac:dyDescent="0.2">
      <c r="A1408" t="s">
        <v>37</v>
      </c>
      <c r="B1408" t="s">
        <v>140</v>
      </c>
      <c r="C1408" t="s">
        <v>192</v>
      </c>
      <c r="D1408" s="110">
        <v>169268.61</v>
      </c>
      <c r="E1408" s="110">
        <v>172763.61</v>
      </c>
      <c r="F1408" s="110">
        <v>172763.61</v>
      </c>
      <c r="I1408" s="110">
        <v>195</v>
      </c>
      <c r="J1408" s="110">
        <v>325</v>
      </c>
      <c r="K1408" s="110">
        <v>1075</v>
      </c>
    </row>
    <row r="1409" spans="1:12" x14ac:dyDescent="0.2">
      <c r="A1409" t="s">
        <v>37</v>
      </c>
      <c r="B1409" t="s">
        <v>140</v>
      </c>
      <c r="C1409" t="s">
        <v>193</v>
      </c>
      <c r="D1409" s="110">
        <v>59344.37</v>
      </c>
      <c r="E1409" s="110">
        <v>59344.37</v>
      </c>
      <c r="I1409" s="110">
        <v>617.1</v>
      </c>
      <c r="J1409" s="110">
        <v>798.1</v>
      </c>
    </row>
    <row r="1410" spans="1:12" x14ac:dyDescent="0.2">
      <c r="A1410" t="s">
        <v>37</v>
      </c>
      <c r="B1410" t="s">
        <v>140</v>
      </c>
      <c r="C1410" t="s">
        <v>194</v>
      </c>
      <c r="D1410" s="110">
        <v>116587.17</v>
      </c>
      <c r="I1410" s="110">
        <v>164</v>
      </c>
    </row>
    <row r="1411" spans="1:12" x14ac:dyDescent="0.2">
      <c r="A1411" t="s">
        <v>37</v>
      </c>
      <c r="B1411" t="s">
        <v>105</v>
      </c>
      <c r="C1411" t="s">
        <v>191</v>
      </c>
      <c r="D1411" s="110">
        <v>363401.3</v>
      </c>
      <c r="E1411" s="110">
        <v>413137.58</v>
      </c>
      <c r="F1411" s="110">
        <v>412961.54</v>
      </c>
      <c r="G1411" s="110">
        <v>413016.96</v>
      </c>
      <c r="I1411" s="110">
        <v>105625.44</v>
      </c>
      <c r="J1411" s="110">
        <v>126838.61</v>
      </c>
      <c r="K1411" s="110">
        <v>138267.6</v>
      </c>
      <c r="L1411" s="110">
        <v>145625.38</v>
      </c>
    </row>
    <row r="1412" spans="1:12" x14ac:dyDescent="0.2">
      <c r="A1412" t="s">
        <v>37</v>
      </c>
      <c r="B1412" t="s">
        <v>105</v>
      </c>
      <c r="C1412" t="s">
        <v>192</v>
      </c>
      <c r="D1412" s="110">
        <v>291105.56</v>
      </c>
      <c r="E1412" s="110">
        <v>312761.90000000002</v>
      </c>
      <c r="F1412" s="110">
        <v>312745.63</v>
      </c>
      <c r="I1412" s="110">
        <v>86285.88</v>
      </c>
      <c r="J1412" s="110">
        <v>105187.9</v>
      </c>
      <c r="K1412" s="110">
        <v>114634.3</v>
      </c>
    </row>
    <row r="1413" spans="1:12" x14ac:dyDescent="0.2">
      <c r="A1413" t="s">
        <v>37</v>
      </c>
      <c r="B1413" t="s">
        <v>105</v>
      </c>
      <c r="C1413" t="s">
        <v>193</v>
      </c>
      <c r="D1413" s="110">
        <v>266492.07</v>
      </c>
      <c r="E1413" s="110">
        <v>263091.86</v>
      </c>
      <c r="I1413" s="110">
        <v>35565.370000000003</v>
      </c>
      <c r="J1413" s="110">
        <v>49308.55</v>
      </c>
    </row>
    <row r="1414" spans="1:12" x14ac:dyDescent="0.2">
      <c r="A1414" t="s">
        <v>37</v>
      </c>
      <c r="B1414" t="s">
        <v>105</v>
      </c>
      <c r="C1414" t="s">
        <v>194</v>
      </c>
      <c r="D1414" s="110">
        <v>243127.39</v>
      </c>
      <c r="I1414" s="110">
        <v>32057.43</v>
      </c>
    </row>
    <row r="1415" spans="1:12" x14ac:dyDescent="0.2">
      <c r="A1415" t="s">
        <v>37</v>
      </c>
      <c r="B1415" t="s">
        <v>111</v>
      </c>
      <c r="C1415" t="s">
        <v>191</v>
      </c>
      <c r="D1415" s="110">
        <v>12780</v>
      </c>
      <c r="E1415" s="110">
        <v>12280</v>
      </c>
      <c r="F1415" s="110">
        <v>12080</v>
      </c>
      <c r="G1415" s="110">
        <v>11880</v>
      </c>
      <c r="I1415" s="110">
        <v>847</v>
      </c>
      <c r="J1415" s="110">
        <v>2266</v>
      </c>
      <c r="K1415" s="110">
        <v>2496</v>
      </c>
      <c r="L1415" s="110">
        <v>2914.5</v>
      </c>
    </row>
    <row r="1416" spans="1:12" x14ac:dyDescent="0.2">
      <c r="A1416" t="s">
        <v>37</v>
      </c>
      <c r="B1416" t="s">
        <v>111</v>
      </c>
      <c r="C1416" t="s">
        <v>192</v>
      </c>
      <c r="D1416" s="110">
        <v>15982.6</v>
      </c>
      <c r="E1416" s="110">
        <v>15482.6</v>
      </c>
      <c r="F1416" s="110">
        <v>15332.6</v>
      </c>
      <c r="I1416" s="110">
        <v>1103.5999999999999</v>
      </c>
      <c r="J1416" s="110">
        <v>1536.6</v>
      </c>
      <c r="K1416" s="110">
        <v>1995.1</v>
      </c>
    </row>
    <row r="1417" spans="1:12" x14ac:dyDescent="0.2">
      <c r="A1417" t="s">
        <v>37</v>
      </c>
      <c r="B1417" t="s">
        <v>111</v>
      </c>
      <c r="C1417" t="s">
        <v>193</v>
      </c>
      <c r="D1417" s="110">
        <v>20298.5</v>
      </c>
      <c r="E1417" s="110">
        <v>19848.5</v>
      </c>
      <c r="I1417" s="110">
        <v>498.5</v>
      </c>
      <c r="J1417" s="110">
        <v>1839</v>
      </c>
    </row>
    <row r="1418" spans="1:12" x14ac:dyDescent="0.2">
      <c r="A1418" t="s">
        <v>37</v>
      </c>
      <c r="B1418" t="s">
        <v>111</v>
      </c>
      <c r="C1418" t="s">
        <v>194</v>
      </c>
      <c r="D1418" s="110">
        <v>21169</v>
      </c>
      <c r="I1418" s="110">
        <v>845</v>
      </c>
    </row>
    <row r="1419" spans="1:12" x14ac:dyDescent="0.2">
      <c r="A1419" t="s">
        <v>37</v>
      </c>
      <c r="B1419" t="s">
        <v>109</v>
      </c>
      <c r="C1419" t="s">
        <v>191</v>
      </c>
      <c r="D1419" s="110">
        <v>283309.84999999998</v>
      </c>
      <c r="E1419" s="110">
        <v>301372.19</v>
      </c>
      <c r="F1419" s="110">
        <v>301057.46000000002</v>
      </c>
      <c r="G1419" s="110">
        <v>301170.03000000003</v>
      </c>
      <c r="I1419" s="110">
        <v>75461.64</v>
      </c>
      <c r="J1419" s="110">
        <v>95823.79</v>
      </c>
      <c r="K1419" s="110">
        <v>111896.73</v>
      </c>
      <c r="L1419" s="110">
        <v>122765.56</v>
      </c>
    </row>
    <row r="1420" spans="1:12" x14ac:dyDescent="0.2">
      <c r="A1420" t="s">
        <v>37</v>
      </c>
      <c r="B1420" t="s">
        <v>109</v>
      </c>
      <c r="C1420" t="s">
        <v>192</v>
      </c>
      <c r="D1420" s="110">
        <v>275558.06</v>
      </c>
      <c r="E1420" s="110">
        <v>278355.40000000002</v>
      </c>
      <c r="F1420" s="110">
        <v>277973.63</v>
      </c>
      <c r="I1420" s="110">
        <v>79191.429999999993</v>
      </c>
      <c r="J1420" s="110">
        <v>98215.62</v>
      </c>
      <c r="K1420" s="110">
        <v>112364.2</v>
      </c>
    </row>
    <row r="1421" spans="1:12" x14ac:dyDescent="0.2">
      <c r="A1421" t="s">
        <v>37</v>
      </c>
      <c r="B1421" t="s">
        <v>109</v>
      </c>
      <c r="C1421" t="s">
        <v>193</v>
      </c>
      <c r="D1421" s="110">
        <v>274257.99</v>
      </c>
      <c r="E1421" s="110">
        <v>274193.21000000002</v>
      </c>
      <c r="I1421" s="110">
        <v>58617.26</v>
      </c>
      <c r="J1421" s="110">
        <v>76663.11</v>
      </c>
    </row>
    <row r="1422" spans="1:12" x14ac:dyDescent="0.2">
      <c r="A1422" t="s">
        <v>37</v>
      </c>
      <c r="B1422" t="s">
        <v>109</v>
      </c>
      <c r="C1422" t="s">
        <v>194</v>
      </c>
      <c r="D1422" s="110">
        <v>230884.94</v>
      </c>
      <c r="I1422" s="110">
        <v>62833.02</v>
      </c>
    </row>
    <row r="1423" spans="1:12" x14ac:dyDescent="0.2">
      <c r="A1423" t="s">
        <v>37</v>
      </c>
      <c r="B1423" t="s">
        <v>106</v>
      </c>
      <c r="C1423" t="s">
        <v>191</v>
      </c>
      <c r="D1423" s="110">
        <v>377042.85</v>
      </c>
      <c r="E1423" s="110">
        <v>366356.85</v>
      </c>
      <c r="F1423" s="110">
        <v>365461.85</v>
      </c>
      <c r="G1423" s="110">
        <v>365051.85</v>
      </c>
      <c r="I1423" s="110">
        <v>328184.34999999998</v>
      </c>
      <c r="J1423" s="110">
        <v>331393.71000000002</v>
      </c>
      <c r="K1423" s="110">
        <v>332974.62</v>
      </c>
      <c r="L1423" s="110">
        <v>333072.62</v>
      </c>
    </row>
    <row r="1424" spans="1:12" x14ac:dyDescent="0.2">
      <c r="A1424" t="s">
        <v>37</v>
      </c>
      <c r="B1424" t="s">
        <v>106</v>
      </c>
      <c r="C1424" t="s">
        <v>192</v>
      </c>
      <c r="D1424" s="110">
        <v>421692.7</v>
      </c>
      <c r="E1424" s="110">
        <v>409399.47</v>
      </c>
      <c r="F1424" s="110">
        <v>406057.47</v>
      </c>
      <c r="I1424" s="110">
        <v>353280.36</v>
      </c>
      <c r="J1424" s="110">
        <v>357879.66</v>
      </c>
      <c r="K1424" s="110">
        <v>358888.99</v>
      </c>
    </row>
    <row r="1425" spans="1:12" x14ac:dyDescent="0.2">
      <c r="A1425" t="s">
        <v>37</v>
      </c>
      <c r="B1425" t="s">
        <v>106</v>
      </c>
      <c r="C1425" t="s">
        <v>193</v>
      </c>
      <c r="D1425" s="110">
        <v>444951.35</v>
      </c>
      <c r="E1425" s="110">
        <v>435274.35</v>
      </c>
      <c r="I1425" s="110">
        <v>383854.75</v>
      </c>
      <c r="J1425" s="110">
        <v>388817.33</v>
      </c>
    </row>
    <row r="1426" spans="1:12" x14ac:dyDescent="0.2">
      <c r="A1426" t="s">
        <v>37</v>
      </c>
      <c r="B1426" t="s">
        <v>106</v>
      </c>
      <c r="C1426" t="s">
        <v>194</v>
      </c>
      <c r="D1426" s="110">
        <v>359722.86</v>
      </c>
      <c r="I1426" s="110">
        <v>295306.26</v>
      </c>
    </row>
    <row r="1427" spans="1:12" x14ac:dyDescent="0.2">
      <c r="A1427" t="s">
        <v>37</v>
      </c>
      <c r="B1427" t="s">
        <v>107</v>
      </c>
      <c r="C1427" t="s">
        <v>191</v>
      </c>
      <c r="D1427" s="110">
        <v>317991.90000000002</v>
      </c>
      <c r="E1427" s="110">
        <v>317090.90000000002</v>
      </c>
      <c r="F1427" s="110">
        <v>317090.90000000002</v>
      </c>
      <c r="G1427" s="110">
        <v>317090.90000000002</v>
      </c>
      <c r="I1427" s="110">
        <v>314151.03999999998</v>
      </c>
      <c r="J1427" s="110">
        <v>314745.05</v>
      </c>
      <c r="K1427" s="110">
        <v>314745.05</v>
      </c>
      <c r="L1427" s="110">
        <v>314754.05</v>
      </c>
    </row>
    <row r="1428" spans="1:12" x14ac:dyDescent="0.2">
      <c r="A1428" t="s">
        <v>37</v>
      </c>
      <c r="B1428" t="s">
        <v>107</v>
      </c>
      <c r="C1428" t="s">
        <v>192</v>
      </c>
      <c r="D1428" s="110">
        <v>343877.07</v>
      </c>
      <c r="E1428" s="110">
        <v>342337.07</v>
      </c>
      <c r="F1428" s="110">
        <v>342337.07</v>
      </c>
      <c r="I1428" s="110">
        <v>338933.57</v>
      </c>
      <c r="J1428" s="110">
        <v>340284.57</v>
      </c>
      <c r="K1428" s="110">
        <v>340284.57</v>
      </c>
    </row>
    <row r="1429" spans="1:12" x14ac:dyDescent="0.2">
      <c r="A1429" t="s">
        <v>37</v>
      </c>
      <c r="B1429" t="s">
        <v>107</v>
      </c>
      <c r="C1429" t="s">
        <v>193</v>
      </c>
      <c r="D1429" s="110">
        <v>374881.31</v>
      </c>
      <c r="E1429" s="110">
        <v>374581.31</v>
      </c>
      <c r="I1429" s="110">
        <v>370403.09</v>
      </c>
      <c r="J1429" s="110">
        <v>372438.09</v>
      </c>
    </row>
    <row r="1430" spans="1:12" x14ac:dyDescent="0.2">
      <c r="A1430" t="s">
        <v>37</v>
      </c>
      <c r="B1430" t="s">
        <v>107</v>
      </c>
      <c r="C1430" t="s">
        <v>194</v>
      </c>
      <c r="D1430" s="110">
        <v>414322.47</v>
      </c>
      <c r="I1430" s="110">
        <v>406832.47</v>
      </c>
    </row>
    <row r="1431" spans="1:12" x14ac:dyDescent="0.2">
      <c r="A1431" t="s">
        <v>37</v>
      </c>
      <c r="B1431" t="s">
        <v>108</v>
      </c>
      <c r="C1431" t="s">
        <v>191</v>
      </c>
      <c r="D1431" s="110">
        <v>93428</v>
      </c>
      <c r="E1431" s="110">
        <v>93428</v>
      </c>
      <c r="F1431" s="110">
        <v>92397</v>
      </c>
      <c r="G1431" s="110">
        <v>92397</v>
      </c>
      <c r="I1431" s="110">
        <v>87655</v>
      </c>
      <c r="J1431" s="110">
        <v>89572</v>
      </c>
      <c r="K1431" s="110">
        <v>89598</v>
      </c>
      <c r="L1431" s="110">
        <v>89598</v>
      </c>
    </row>
    <row r="1432" spans="1:12" x14ac:dyDescent="0.2">
      <c r="A1432" t="s">
        <v>37</v>
      </c>
      <c r="B1432" t="s">
        <v>108</v>
      </c>
      <c r="C1432" t="s">
        <v>192</v>
      </c>
      <c r="D1432" s="110">
        <v>96644.29</v>
      </c>
      <c r="E1432" s="110">
        <v>96299.29</v>
      </c>
      <c r="F1432" s="110">
        <v>96299.29</v>
      </c>
      <c r="I1432" s="110">
        <v>90761.29</v>
      </c>
      <c r="J1432" s="110">
        <v>92950.29</v>
      </c>
      <c r="K1432" s="110">
        <v>92950.29</v>
      </c>
    </row>
    <row r="1433" spans="1:12" x14ac:dyDescent="0.2">
      <c r="A1433" t="s">
        <v>37</v>
      </c>
      <c r="B1433" t="s">
        <v>108</v>
      </c>
      <c r="C1433" t="s">
        <v>193</v>
      </c>
      <c r="D1433" s="110">
        <v>103205.81</v>
      </c>
      <c r="E1433" s="110">
        <v>102805.81</v>
      </c>
      <c r="I1433" s="110">
        <v>97112.55</v>
      </c>
      <c r="J1433" s="110">
        <v>99554.31</v>
      </c>
    </row>
    <row r="1434" spans="1:12" x14ac:dyDescent="0.2">
      <c r="A1434" t="s">
        <v>37</v>
      </c>
      <c r="B1434" t="s">
        <v>108</v>
      </c>
      <c r="C1434" t="s">
        <v>194</v>
      </c>
      <c r="D1434" s="110">
        <v>97479.69</v>
      </c>
      <c r="I1434" s="110">
        <v>89345.69</v>
      </c>
    </row>
    <row r="1435" spans="1:12" x14ac:dyDescent="0.2">
      <c r="A1435" t="s">
        <v>37</v>
      </c>
      <c r="B1435" t="s">
        <v>70</v>
      </c>
      <c r="C1435" t="s">
        <v>191</v>
      </c>
      <c r="D1435" s="110">
        <v>119015.1</v>
      </c>
      <c r="E1435" s="110">
        <v>116419.6</v>
      </c>
      <c r="F1435" s="110">
        <v>115667.1</v>
      </c>
      <c r="G1435" s="110">
        <v>115647.1</v>
      </c>
      <c r="I1435" s="110">
        <v>102954.4</v>
      </c>
      <c r="J1435" s="110">
        <v>105282.9</v>
      </c>
      <c r="K1435" s="110">
        <v>105003.9</v>
      </c>
      <c r="L1435" s="110">
        <v>105003.9</v>
      </c>
    </row>
    <row r="1436" spans="1:12" x14ac:dyDescent="0.2">
      <c r="A1436" t="s">
        <v>37</v>
      </c>
      <c r="B1436" t="s">
        <v>70</v>
      </c>
      <c r="C1436" t="s">
        <v>192</v>
      </c>
      <c r="D1436" s="110">
        <v>122737.8</v>
      </c>
      <c r="E1436" s="110">
        <v>119062.8</v>
      </c>
      <c r="F1436" s="110">
        <v>117922.8</v>
      </c>
      <c r="I1436" s="110">
        <v>107464.55</v>
      </c>
      <c r="J1436" s="110">
        <v>108712.55</v>
      </c>
      <c r="K1436" s="110">
        <v>109899.05</v>
      </c>
    </row>
    <row r="1437" spans="1:12" x14ac:dyDescent="0.2">
      <c r="A1437" t="s">
        <v>37</v>
      </c>
      <c r="B1437" t="s">
        <v>70</v>
      </c>
      <c r="C1437" t="s">
        <v>193</v>
      </c>
      <c r="D1437" s="110">
        <v>121304.9</v>
      </c>
      <c r="E1437" s="110">
        <v>119834.9</v>
      </c>
      <c r="I1437" s="110">
        <v>107350.39999999999</v>
      </c>
      <c r="J1437" s="110">
        <v>109327.26</v>
      </c>
    </row>
    <row r="1438" spans="1:12" x14ac:dyDescent="0.2">
      <c r="A1438" t="s">
        <v>37</v>
      </c>
      <c r="B1438" t="s">
        <v>70</v>
      </c>
      <c r="C1438" t="s">
        <v>194</v>
      </c>
      <c r="D1438" s="110">
        <v>125749.3</v>
      </c>
      <c r="I1438" s="110">
        <v>108579.85</v>
      </c>
    </row>
    <row r="1439" spans="1:12" x14ac:dyDescent="0.2">
      <c r="A1439" t="s">
        <v>37</v>
      </c>
      <c r="B1439" t="s">
        <v>110</v>
      </c>
      <c r="C1439" t="s">
        <v>191</v>
      </c>
      <c r="D1439" s="110">
        <v>1129009.5</v>
      </c>
      <c r="E1439" s="110">
        <v>1072669.3999999999</v>
      </c>
      <c r="F1439" s="110">
        <v>1064870.3999999999</v>
      </c>
      <c r="G1439" s="110">
        <v>1063500.1100000001</v>
      </c>
      <c r="I1439" s="110">
        <v>536028.80000000005</v>
      </c>
      <c r="J1439" s="110">
        <v>854543.9</v>
      </c>
      <c r="K1439" s="110">
        <v>927220.9</v>
      </c>
      <c r="L1439" s="110">
        <v>946376.62</v>
      </c>
    </row>
    <row r="1440" spans="1:12" x14ac:dyDescent="0.2">
      <c r="A1440" t="s">
        <v>37</v>
      </c>
      <c r="B1440" t="s">
        <v>110</v>
      </c>
      <c r="C1440" t="s">
        <v>192</v>
      </c>
      <c r="D1440" s="110">
        <v>1138897.1299999999</v>
      </c>
      <c r="E1440" s="110">
        <v>1087786.1299999999</v>
      </c>
      <c r="F1440" s="110">
        <v>1077299.1299999999</v>
      </c>
      <c r="I1440" s="110">
        <v>550580.80000000005</v>
      </c>
      <c r="J1440" s="110">
        <v>859597.59</v>
      </c>
      <c r="K1440" s="110">
        <v>937691.42</v>
      </c>
    </row>
    <row r="1441" spans="1:12" x14ac:dyDescent="0.2">
      <c r="A1441" t="s">
        <v>37</v>
      </c>
      <c r="B1441" t="s">
        <v>110</v>
      </c>
      <c r="C1441" t="s">
        <v>193</v>
      </c>
      <c r="D1441" s="110">
        <v>1007171.05</v>
      </c>
      <c r="E1441" s="110">
        <v>959149.55</v>
      </c>
      <c r="I1441" s="110">
        <v>491804.45</v>
      </c>
      <c r="J1441" s="110">
        <v>749575.03</v>
      </c>
    </row>
    <row r="1442" spans="1:12" x14ac:dyDescent="0.2">
      <c r="A1442" t="s">
        <v>37</v>
      </c>
      <c r="B1442" t="s">
        <v>110</v>
      </c>
      <c r="C1442" t="s">
        <v>194</v>
      </c>
      <c r="D1442" s="110">
        <v>1061134.3500000001</v>
      </c>
      <c r="I1442" s="110">
        <v>508867.85</v>
      </c>
    </row>
    <row r="1443" spans="1:12" x14ac:dyDescent="0.2">
      <c r="A1443" t="s">
        <v>38</v>
      </c>
      <c r="B1443" t="s">
        <v>104</v>
      </c>
      <c r="C1443" t="s">
        <v>191</v>
      </c>
      <c r="D1443" s="110">
        <v>68874.5</v>
      </c>
      <c r="E1443" s="110">
        <v>68624.5</v>
      </c>
      <c r="F1443" s="110">
        <v>67959.5</v>
      </c>
      <c r="G1443" s="110">
        <v>67959.5</v>
      </c>
      <c r="I1443" s="110">
        <v>1440.52</v>
      </c>
      <c r="J1443" s="110">
        <v>3826.79</v>
      </c>
      <c r="K1443" s="110">
        <v>6369.25</v>
      </c>
      <c r="L1443" s="110">
        <v>8913.8700000000008</v>
      </c>
    </row>
    <row r="1444" spans="1:12" x14ac:dyDescent="0.2">
      <c r="A1444" t="s">
        <v>38</v>
      </c>
      <c r="B1444" t="s">
        <v>104</v>
      </c>
      <c r="C1444" t="s">
        <v>192</v>
      </c>
      <c r="D1444" s="110">
        <v>64907</v>
      </c>
      <c r="E1444" s="110">
        <v>64157</v>
      </c>
      <c r="F1444" s="110">
        <v>63957</v>
      </c>
      <c r="I1444" s="110">
        <v>1129.67</v>
      </c>
      <c r="J1444" s="110">
        <v>4030.6</v>
      </c>
      <c r="K1444" s="110">
        <v>5568.53</v>
      </c>
    </row>
    <row r="1445" spans="1:12" x14ac:dyDescent="0.2">
      <c r="A1445" t="s">
        <v>38</v>
      </c>
      <c r="B1445" t="s">
        <v>104</v>
      </c>
      <c r="C1445" t="s">
        <v>193</v>
      </c>
      <c r="D1445" s="110">
        <v>55410.5</v>
      </c>
      <c r="E1445" s="110">
        <v>54660.5</v>
      </c>
      <c r="I1445" s="110">
        <v>2440.42</v>
      </c>
      <c r="J1445" s="110">
        <v>4532.3500000000004</v>
      </c>
    </row>
    <row r="1446" spans="1:12" x14ac:dyDescent="0.2">
      <c r="A1446" t="s">
        <v>38</v>
      </c>
      <c r="B1446" t="s">
        <v>104</v>
      </c>
      <c r="C1446" t="s">
        <v>194</v>
      </c>
      <c r="D1446" s="110">
        <v>85946</v>
      </c>
      <c r="I1446" s="110">
        <v>707.19</v>
      </c>
    </row>
    <row r="1447" spans="1:12" x14ac:dyDescent="0.2">
      <c r="A1447" t="s">
        <v>38</v>
      </c>
      <c r="B1447" t="s">
        <v>140</v>
      </c>
      <c r="C1447" t="s">
        <v>191</v>
      </c>
      <c r="D1447" s="110">
        <v>53165</v>
      </c>
      <c r="E1447" s="110">
        <v>53165</v>
      </c>
      <c r="F1447" s="110">
        <v>53165</v>
      </c>
      <c r="G1447" s="110">
        <v>53165</v>
      </c>
    </row>
    <row r="1448" spans="1:12" x14ac:dyDescent="0.2">
      <c r="A1448" t="s">
        <v>38</v>
      </c>
      <c r="B1448" t="s">
        <v>140</v>
      </c>
      <c r="C1448" t="s">
        <v>192</v>
      </c>
    </row>
    <row r="1449" spans="1:12" x14ac:dyDescent="0.2">
      <c r="A1449" t="s">
        <v>38</v>
      </c>
      <c r="B1449" t="s">
        <v>140</v>
      </c>
      <c r="C1449" t="s">
        <v>193</v>
      </c>
    </row>
    <row r="1450" spans="1:12" x14ac:dyDescent="0.2">
      <c r="A1450" t="s">
        <v>38</v>
      </c>
      <c r="B1450" t="s">
        <v>140</v>
      </c>
      <c r="C1450" t="s">
        <v>194</v>
      </c>
    </row>
    <row r="1451" spans="1:12" x14ac:dyDescent="0.2">
      <c r="A1451" t="s">
        <v>38</v>
      </c>
      <c r="B1451" t="s">
        <v>105</v>
      </c>
      <c r="C1451" t="s">
        <v>191</v>
      </c>
      <c r="D1451" s="110">
        <v>44637.25</v>
      </c>
      <c r="E1451" s="110">
        <v>43540.25</v>
      </c>
      <c r="F1451" s="110">
        <v>42868.800000000003</v>
      </c>
      <c r="G1451" s="110">
        <v>42588.7</v>
      </c>
      <c r="I1451" s="110">
        <v>1813</v>
      </c>
      <c r="J1451" s="110">
        <v>7553</v>
      </c>
      <c r="K1451" s="110">
        <v>12676.05</v>
      </c>
      <c r="L1451" s="110">
        <v>14261.05</v>
      </c>
    </row>
    <row r="1452" spans="1:12" x14ac:dyDescent="0.2">
      <c r="A1452" t="s">
        <v>38</v>
      </c>
      <c r="B1452" t="s">
        <v>105</v>
      </c>
      <c r="C1452" t="s">
        <v>192</v>
      </c>
      <c r="D1452" s="110">
        <v>44276.55</v>
      </c>
      <c r="E1452" s="110">
        <v>43236.55</v>
      </c>
      <c r="F1452" s="110">
        <v>41454.050000000003</v>
      </c>
      <c r="I1452" s="110">
        <v>2587.5500000000002</v>
      </c>
      <c r="J1452" s="110">
        <v>8637.5499999999993</v>
      </c>
      <c r="K1452" s="110">
        <v>12552.55</v>
      </c>
    </row>
    <row r="1453" spans="1:12" x14ac:dyDescent="0.2">
      <c r="A1453" t="s">
        <v>38</v>
      </c>
      <c r="B1453" t="s">
        <v>105</v>
      </c>
      <c r="C1453" t="s">
        <v>193</v>
      </c>
      <c r="D1453" s="110">
        <v>53509.15</v>
      </c>
      <c r="E1453" s="110">
        <v>51088.22</v>
      </c>
      <c r="I1453" s="110">
        <v>6156.47</v>
      </c>
      <c r="J1453" s="110">
        <v>13573.47</v>
      </c>
    </row>
    <row r="1454" spans="1:12" x14ac:dyDescent="0.2">
      <c r="A1454" t="s">
        <v>38</v>
      </c>
      <c r="B1454" t="s">
        <v>105</v>
      </c>
      <c r="C1454" t="s">
        <v>194</v>
      </c>
      <c r="D1454" s="110">
        <v>53700.5</v>
      </c>
      <c r="I1454" s="110">
        <v>4121</v>
      </c>
    </row>
    <row r="1455" spans="1:12" x14ac:dyDescent="0.2">
      <c r="A1455" t="s">
        <v>38</v>
      </c>
      <c r="B1455" t="s">
        <v>111</v>
      </c>
      <c r="C1455" t="s">
        <v>191</v>
      </c>
      <c r="D1455" s="110">
        <v>3968</v>
      </c>
      <c r="E1455" s="110">
        <v>3868</v>
      </c>
      <c r="F1455" s="110">
        <v>3468</v>
      </c>
      <c r="G1455" s="110">
        <v>3618</v>
      </c>
      <c r="I1455" s="110">
        <v>1033</v>
      </c>
      <c r="J1455" s="110">
        <v>1758</v>
      </c>
      <c r="K1455" s="110">
        <v>1893</v>
      </c>
      <c r="L1455" s="110">
        <v>1923</v>
      </c>
    </row>
    <row r="1456" spans="1:12" x14ac:dyDescent="0.2">
      <c r="A1456" t="s">
        <v>38</v>
      </c>
      <c r="B1456" t="s">
        <v>111</v>
      </c>
      <c r="C1456" t="s">
        <v>192</v>
      </c>
      <c r="D1456" s="110">
        <v>1627</v>
      </c>
      <c r="E1456" s="110">
        <v>1627</v>
      </c>
      <c r="F1456" s="110">
        <v>1627</v>
      </c>
      <c r="I1456" s="110">
        <v>526</v>
      </c>
      <c r="J1456" s="110">
        <v>951</v>
      </c>
      <c r="K1456" s="110">
        <v>1221</v>
      </c>
    </row>
    <row r="1457" spans="1:12" x14ac:dyDescent="0.2">
      <c r="A1457" t="s">
        <v>38</v>
      </c>
      <c r="B1457" t="s">
        <v>111</v>
      </c>
      <c r="C1457" t="s">
        <v>193</v>
      </c>
      <c r="D1457" s="110">
        <v>2709</v>
      </c>
      <c r="E1457" s="110">
        <v>2239</v>
      </c>
      <c r="I1457" s="110">
        <v>1289</v>
      </c>
      <c r="J1457" s="110">
        <v>1464</v>
      </c>
    </row>
    <row r="1458" spans="1:12" x14ac:dyDescent="0.2">
      <c r="A1458" t="s">
        <v>38</v>
      </c>
      <c r="B1458" t="s">
        <v>111</v>
      </c>
      <c r="C1458" t="s">
        <v>194</v>
      </c>
      <c r="D1458" s="110">
        <v>2372</v>
      </c>
      <c r="I1458" s="110">
        <v>996</v>
      </c>
    </row>
    <row r="1459" spans="1:12" x14ac:dyDescent="0.2">
      <c r="A1459" t="s">
        <v>38</v>
      </c>
      <c r="B1459" t="s">
        <v>109</v>
      </c>
      <c r="C1459" t="s">
        <v>191</v>
      </c>
      <c r="D1459" s="110">
        <v>39719.25</v>
      </c>
      <c r="E1459" s="110">
        <v>38205.25</v>
      </c>
      <c r="F1459" s="110">
        <v>36323.25</v>
      </c>
      <c r="G1459" s="110">
        <v>35423.75</v>
      </c>
      <c r="I1459" s="110">
        <v>4490.25</v>
      </c>
      <c r="J1459" s="110">
        <v>10609.5</v>
      </c>
      <c r="K1459" s="110">
        <v>14636</v>
      </c>
      <c r="L1459" s="110">
        <v>16462</v>
      </c>
    </row>
    <row r="1460" spans="1:12" x14ac:dyDescent="0.2">
      <c r="A1460" t="s">
        <v>38</v>
      </c>
      <c r="B1460" t="s">
        <v>109</v>
      </c>
      <c r="C1460" t="s">
        <v>192</v>
      </c>
      <c r="D1460" s="110">
        <v>55245</v>
      </c>
      <c r="E1460" s="110">
        <v>54320.75</v>
      </c>
      <c r="F1460" s="110">
        <v>53369.75</v>
      </c>
      <c r="I1460" s="110">
        <v>5507</v>
      </c>
      <c r="J1460" s="110">
        <v>12164.25</v>
      </c>
      <c r="K1460" s="110">
        <v>16197.25</v>
      </c>
    </row>
    <row r="1461" spans="1:12" x14ac:dyDescent="0.2">
      <c r="A1461" t="s">
        <v>38</v>
      </c>
      <c r="B1461" t="s">
        <v>109</v>
      </c>
      <c r="C1461" t="s">
        <v>193</v>
      </c>
      <c r="D1461" s="110">
        <v>57498</v>
      </c>
      <c r="E1461" s="110">
        <v>54427.5</v>
      </c>
      <c r="I1461" s="110">
        <v>5301.5</v>
      </c>
      <c r="J1461" s="110">
        <v>14710.77</v>
      </c>
    </row>
    <row r="1462" spans="1:12" x14ac:dyDescent="0.2">
      <c r="A1462" t="s">
        <v>38</v>
      </c>
      <c r="B1462" t="s">
        <v>109</v>
      </c>
      <c r="C1462" t="s">
        <v>194</v>
      </c>
      <c r="D1462" s="110">
        <v>60828.25</v>
      </c>
      <c r="I1462" s="110">
        <v>5400</v>
      </c>
    </row>
    <row r="1463" spans="1:12" x14ac:dyDescent="0.2">
      <c r="A1463" t="s">
        <v>38</v>
      </c>
      <c r="B1463" t="s">
        <v>106</v>
      </c>
      <c r="C1463" t="s">
        <v>191</v>
      </c>
      <c r="D1463" s="110">
        <v>32050</v>
      </c>
      <c r="E1463" s="110">
        <v>32050</v>
      </c>
      <c r="F1463" s="110">
        <v>32050</v>
      </c>
      <c r="G1463" s="110">
        <v>32050</v>
      </c>
      <c r="I1463" s="110">
        <v>29775</v>
      </c>
      <c r="J1463" s="110">
        <v>31950</v>
      </c>
      <c r="K1463" s="110">
        <v>32000</v>
      </c>
      <c r="L1463" s="110">
        <v>32000</v>
      </c>
    </row>
    <row r="1464" spans="1:12" x14ac:dyDescent="0.2">
      <c r="A1464" t="s">
        <v>38</v>
      </c>
      <c r="B1464" t="s">
        <v>106</v>
      </c>
      <c r="C1464" t="s">
        <v>192</v>
      </c>
      <c r="D1464" s="110">
        <v>42756.5</v>
      </c>
      <c r="E1464" s="110">
        <v>41494</v>
      </c>
      <c r="F1464" s="110">
        <v>42756.5</v>
      </c>
      <c r="I1464" s="110">
        <v>36081.5</v>
      </c>
      <c r="J1464" s="110">
        <v>41494</v>
      </c>
      <c r="K1464" s="110">
        <v>41494</v>
      </c>
    </row>
    <row r="1465" spans="1:12" x14ac:dyDescent="0.2">
      <c r="A1465" t="s">
        <v>38</v>
      </c>
      <c r="B1465" t="s">
        <v>106</v>
      </c>
      <c r="C1465" t="s">
        <v>193</v>
      </c>
      <c r="D1465" s="110">
        <v>49309</v>
      </c>
      <c r="E1465" s="110">
        <v>52664</v>
      </c>
      <c r="I1465" s="110">
        <v>45094.6</v>
      </c>
      <c r="J1465" s="110">
        <v>48376.5</v>
      </c>
    </row>
    <row r="1466" spans="1:12" x14ac:dyDescent="0.2">
      <c r="A1466" t="s">
        <v>38</v>
      </c>
      <c r="B1466" t="s">
        <v>106</v>
      </c>
      <c r="C1466" t="s">
        <v>194</v>
      </c>
      <c r="D1466" s="110">
        <v>42518.53</v>
      </c>
      <c r="I1466" s="110">
        <v>37842.53</v>
      </c>
    </row>
    <row r="1467" spans="1:12" x14ac:dyDescent="0.2">
      <c r="A1467" t="s">
        <v>38</v>
      </c>
      <c r="B1467" t="s">
        <v>107</v>
      </c>
      <c r="C1467" t="s">
        <v>191</v>
      </c>
      <c r="D1467" s="110">
        <v>36532.53</v>
      </c>
      <c r="E1467" s="110">
        <v>36532.53</v>
      </c>
      <c r="F1467" s="110">
        <v>36532.53</v>
      </c>
      <c r="G1467" s="110">
        <v>37967.53</v>
      </c>
      <c r="I1467" s="110">
        <v>36252.53</v>
      </c>
      <c r="J1467" s="110">
        <v>36432.53</v>
      </c>
      <c r="K1467" s="110">
        <v>36452.53</v>
      </c>
      <c r="L1467" s="110">
        <v>36452.53</v>
      </c>
    </row>
    <row r="1468" spans="1:12" x14ac:dyDescent="0.2">
      <c r="A1468" t="s">
        <v>38</v>
      </c>
      <c r="B1468" t="s">
        <v>107</v>
      </c>
      <c r="C1468" t="s">
        <v>192</v>
      </c>
      <c r="D1468" s="110">
        <v>35080.86</v>
      </c>
      <c r="E1468" s="110">
        <v>35080.86</v>
      </c>
      <c r="F1468" s="110">
        <v>36275.86</v>
      </c>
      <c r="I1468" s="110">
        <v>32449.61</v>
      </c>
      <c r="J1468" s="110">
        <v>34983.360000000001</v>
      </c>
      <c r="K1468" s="110">
        <v>34983.360000000001</v>
      </c>
    </row>
    <row r="1469" spans="1:12" x14ac:dyDescent="0.2">
      <c r="A1469" t="s">
        <v>38</v>
      </c>
      <c r="B1469" t="s">
        <v>107</v>
      </c>
      <c r="C1469" t="s">
        <v>193</v>
      </c>
      <c r="D1469" s="110">
        <v>45094.6</v>
      </c>
      <c r="E1469" s="110">
        <v>45704.6</v>
      </c>
      <c r="I1469" s="110">
        <v>41009.599999999999</v>
      </c>
      <c r="J1469" s="110">
        <v>43884.6</v>
      </c>
    </row>
    <row r="1470" spans="1:12" x14ac:dyDescent="0.2">
      <c r="A1470" t="s">
        <v>38</v>
      </c>
      <c r="B1470" t="s">
        <v>107</v>
      </c>
      <c r="C1470" t="s">
        <v>194</v>
      </c>
      <c r="D1470" s="110">
        <v>52070.1</v>
      </c>
      <c r="I1470" s="110">
        <v>41313.1</v>
      </c>
    </row>
    <row r="1471" spans="1:12" x14ac:dyDescent="0.2">
      <c r="A1471" t="s">
        <v>38</v>
      </c>
      <c r="B1471" t="s">
        <v>108</v>
      </c>
      <c r="C1471" t="s">
        <v>191</v>
      </c>
      <c r="D1471" s="110">
        <v>11557</v>
      </c>
      <c r="E1471" s="110">
        <v>11157</v>
      </c>
      <c r="F1471" s="110">
        <v>11157</v>
      </c>
      <c r="G1471" s="110">
        <v>11788</v>
      </c>
      <c r="I1471" s="110">
        <v>10757</v>
      </c>
      <c r="J1471" s="110">
        <v>11157</v>
      </c>
      <c r="K1471" s="110">
        <v>11157</v>
      </c>
      <c r="L1471" s="110">
        <v>11157</v>
      </c>
    </row>
    <row r="1472" spans="1:12" x14ac:dyDescent="0.2">
      <c r="A1472" t="s">
        <v>38</v>
      </c>
      <c r="B1472" t="s">
        <v>108</v>
      </c>
      <c r="C1472" t="s">
        <v>192</v>
      </c>
      <c r="D1472" s="110">
        <v>13729</v>
      </c>
      <c r="E1472" s="110">
        <v>13814</v>
      </c>
      <c r="F1472" s="110">
        <v>14676</v>
      </c>
      <c r="I1472" s="110">
        <v>12719</v>
      </c>
      <c r="J1472" s="110">
        <v>13299</v>
      </c>
      <c r="K1472" s="110">
        <v>13498</v>
      </c>
    </row>
    <row r="1473" spans="1:12" x14ac:dyDescent="0.2">
      <c r="A1473" t="s">
        <v>38</v>
      </c>
      <c r="B1473" t="s">
        <v>108</v>
      </c>
      <c r="C1473" t="s">
        <v>193</v>
      </c>
      <c r="D1473" s="110">
        <v>16755</v>
      </c>
      <c r="E1473" s="110">
        <v>17500</v>
      </c>
      <c r="I1473" s="110">
        <v>15404</v>
      </c>
      <c r="J1473" s="110">
        <v>16035</v>
      </c>
    </row>
    <row r="1474" spans="1:12" x14ac:dyDescent="0.2">
      <c r="A1474" t="s">
        <v>38</v>
      </c>
      <c r="B1474" t="s">
        <v>108</v>
      </c>
      <c r="C1474" t="s">
        <v>194</v>
      </c>
      <c r="D1474" s="110">
        <v>16007.84</v>
      </c>
      <c r="I1474" s="110">
        <v>13183.84</v>
      </c>
    </row>
    <row r="1475" spans="1:12" x14ac:dyDescent="0.2">
      <c r="A1475" t="s">
        <v>38</v>
      </c>
      <c r="B1475" t="s">
        <v>70</v>
      </c>
      <c r="C1475" t="s">
        <v>191</v>
      </c>
      <c r="D1475" s="110">
        <v>23485.200000000001</v>
      </c>
      <c r="E1475" s="110">
        <v>23485.200000000001</v>
      </c>
      <c r="F1475" s="110">
        <v>22410.2</v>
      </c>
      <c r="G1475" s="110">
        <v>30585.200000000001</v>
      </c>
      <c r="I1475" s="110">
        <v>18636.41</v>
      </c>
      <c r="J1475" s="110">
        <v>20479.400000000001</v>
      </c>
      <c r="K1475" s="110">
        <v>20824.400000000001</v>
      </c>
      <c r="L1475" s="110">
        <v>20824.400000000001</v>
      </c>
    </row>
    <row r="1476" spans="1:12" x14ac:dyDescent="0.2">
      <c r="A1476" t="s">
        <v>38</v>
      </c>
      <c r="B1476" t="s">
        <v>70</v>
      </c>
      <c r="C1476" t="s">
        <v>192</v>
      </c>
      <c r="D1476" s="110">
        <v>28360.05</v>
      </c>
      <c r="E1476" s="110">
        <v>27990.05</v>
      </c>
      <c r="F1476" s="110">
        <v>27990.05</v>
      </c>
      <c r="I1476" s="110">
        <v>23553.05</v>
      </c>
      <c r="J1476" s="110">
        <v>26915.05</v>
      </c>
      <c r="K1476" s="110">
        <v>26990.05</v>
      </c>
    </row>
    <row r="1477" spans="1:12" x14ac:dyDescent="0.2">
      <c r="A1477" t="s">
        <v>38</v>
      </c>
      <c r="B1477" t="s">
        <v>70</v>
      </c>
      <c r="C1477" t="s">
        <v>193</v>
      </c>
      <c r="D1477" s="110">
        <v>29760.9</v>
      </c>
      <c r="E1477" s="110">
        <v>38684.9</v>
      </c>
      <c r="I1477" s="110">
        <v>21465.27</v>
      </c>
      <c r="J1477" s="110">
        <v>23515.37</v>
      </c>
    </row>
    <row r="1478" spans="1:12" x14ac:dyDescent="0.2">
      <c r="A1478" t="s">
        <v>38</v>
      </c>
      <c r="B1478" t="s">
        <v>70</v>
      </c>
      <c r="C1478" t="s">
        <v>194</v>
      </c>
      <c r="D1478" s="110">
        <v>41306.5</v>
      </c>
      <c r="I1478" s="110">
        <v>23145.33</v>
      </c>
    </row>
    <row r="1479" spans="1:12" x14ac:dyDescent="0.2">
      <c r="A1479" t="s">
        <v>38</v>
      </c>
      <c r="B1479" t="s">
        <v>110</v>
      </c>
      <c r="C1479" t="s">
        <v>191</v>
      </c>
      <c r="D1479" s="110">
        <v>149714.15</v>
      </c>
      <c r="E1479" s="110">
        <v>134460.15</v>
      </c>
      <c r="F1479" s="110">
        <v>132875.15</v>
      </c>
      <c r="G1479" s="110">
        <v>171807.15</v>
      </c>
      <c r="I1479" s="110">
        <v>78478.149999999994</v>
      </c>
      <c r="J1479" s="110">
        <v>114210.65</v>
      </c>
      <c r="K1479" s="110">
        <v>118768.15</v>
      </c>
      <c r="L1479" s="110">
        <v>120808.15</v>
      </c>
    </row>
    <row r="1480" spans="1:12" x14ac:dyDescent="0.2">
      <c r="A1480" t="s">
        <v>38</v>
      </c>
      <c r="B1480" t="s">
        <v>110</v>
      </c>
      <c r="C1480" t="s">
        <v>192</v>
      </c>
      <c r="D1480" s="110">
        <v>154970.75</v>
      </c>
      <c r="E1480" s="110">
        <v>142294.95000000001</v>
      </c>
      <c r="F1480" s="110">
        <v>179506.95</v>
      </c>
      <c r="I1480" s="110">
        <v>84384.25</v>
      </c>
      <c r="J1480" s="110">
        <v>116196.95</v>
      </c>
      <c r="K1480" s="110">
        <v>122269.62</v>
      </c>
    </row>
    <row r="1481" spans="1:12" x14ac:dyDescent="0.2">
      <c r="A1481" t="s">
        <v>38</v>
      </c>
      <c r="B1481" t="s">
        <v>110</v>
      </c>
      <c r="C1481" t="s">
        <v>193</v>
      </c>
      <c r="D1481" s="110">
        <v>123879.75</v>
      </c>
      <c r="E1481" s="110">
        <v>138660.75</v>
      </c>
      <c r="I1481" s="110">
        <v>60191.35</v>
      </c>
      <c r="J1481" s="110">
        <v>92316.75</v>
      </c>
    </row>
    <row r="1482" spans="1:12" x14ac:dyDescent="0.2">
      <c r="A1482" t="s">
        <v>38</v>
      </c>
      <c r="B1482" t="s">
        <v>110</v>
      </c>
      <c r="C1482" t="s">
        <v>194</v>
      </c>
      <c r="D1482" s="110">
        <v>151598.35999999999</v>
      </c>
      <c r="I1482" s="110">
        <v>75325.19</v>
      </c>
    </row>
    <row r="1483" spans="1:12" x14ac:dyDescent="0.2">
      <c r="A1483" t="s">
        <v>39</v>
      </c>
      <c r="B1483" t="s">
        <v>104</v>
      </c>
      <c r="C1483" t="s">
        <v>191</v>
      </c>
      <c r="D1483" s="110">
        <v>14092</v>
      </c>
      <c r="E1483" s="110">
        <v>14092</v>
      </c>
      <c r="F1483" s="110">
        <v>14092</v>
      </c>
      <c r="G1483" s="110">
        <v>14092</v>
      </c>
      <c r="I1483" s="110">
        <v>119.78</v>
      </c>
      <c r="J1483" s="110">
        <v>1717.41</v>
      </c>
      <c r="K1483" s="110">
        <v>2768.08</v>
      </c>
      <c r="L1483" s="110">
        <v>2940.98</v>
      </c>
    </row>
    <row r="1484" spans="1:12" x14ac:dyDescent="0.2">
      <c r="A1484" t="s">
        <v>39</v>
      </c>
      <c r="B1484" t="s">
        <v>104</v>
      </c>
      <c r="C1484" t="s">
        <v>192</v>
      </c>
      <c r="D1484" s="110">
        <v>25713.5</v>
      </c>
      <c r="E1484" s="110">
        <v>25713.5</v>
      </c>
      <c r="F1484" s="110">
        <v>25713.5</v>
      </c>
      <c r="I1484" s="110">
        <v>1235.0999999999999</v>
      </c>
      <c r="J1484" s="110">
        <v>2014.47</v>
      </c>
      <c r="K1484" s="110">
        <v>2808.65</v>
      </c>
    </row>
    <row r="1485" spans="1:12" x14ac:dyDescent="0.2">
      <c r="A1485" t="s">
        <v>39</v>
      </c>
      <c r="B1485" t="s">
        <v>104</v>
      </c>
      <c r="C1485" t="s">
        <v>193</v>
      </c>
      <c r="D1485" s="110">
        <v>33554.5</v>
      </c>
      <c r="E1485" s="110">
        <v>33554.5</v>
      </c>
      <c r="I1485" s="110">
        <v>1134.4100000000001</v>
      </c>
      <c r="J1485" s="110">
        <v>2057.5500000000002</v>
      </c>
    </row>
    <row r="1486" spans="1:12" x14ac:dyDescent="0.2">
      <c r="A1486" t="s">
        <v>39</v>
      </c>
      <c r="B1486" t="s">
        <v>104</v>
      </c>
      <c r="C1486" t="s">
        <v>194</v>
      </c>
      <c r="D1486" s="110">
        <v>14969.5</v>
      </c>
      <c r="I1486" s="110">
        <v>53.79</v>
      </c>
    </row>
    <row r="1487" spans="1:12" x14ac:dyDescent="0.2">
      <c r="A1487" t="s">
        <v>39</v>
      </c>
      <c r="B1487" t="s">
        <v>140</v>
      </c>
      <c r="C1487" t="s">
        <v>191</v>
      </c>
    </row>
    <row r="1488" spans="1:12" x14ac:dyDescent="0.2">
      <c r="A1488" t="s">
        <v>39</v>
      </c>
      <c r="B1488" t="s">
        <v>140</v>
      </c>
      <c r="C1488" t="s">
        <v>192</v>
      </c>
    </row>
    <row r="1489" spans="1:12" x14ac:dyDescent="0.2">
      <c r="A1489" t="s">
        <v>39</v>
      </c>
      <c r="B1489" t="s">
        <v>140</v>
      </c>
      <c r="C1489" t="s">
        <v>193</v>
      </c>
    </row>
    <row r="1490" spans="1:12" x14ac:dyDescent="0.2">
      <c r="A1490" t="s">
        <v>39</v>
      </c>
      <c r="B1490" t="s">
        <v>140</v>
      </c>
      <c r="C1490" t="s">
        <v>194</v>
      </c>
    </row>
    <row r="1491" spans="1:12" x14ac:dyDescent="0.2">
      <c r="A1491" t="s">
        <v>39</v>
      </c>
      <c r="B1491" t="s">
        <v>105</v>
      </c>
      <c r="C1491" t="s">
        <v>191</v>
      </c>
      <c r="D1491" s="110">
        <v>7649</v>
      </c>
      <c r="E1491" s="110">
        <v>7649</v>
      </c>
      <c r="F1491" s="110">
        <v>7649</v>
      </c>
      <c r="G1491" s="110">
        <v>7649</v>
      </c>
      <c r="I1491" s="110">
        <v>1888.5</v>
      </c>
      <c r="J1491" s="110">
        <v>3403.5</v>
      </c>
      <c r="K1491" s="110">
        <v>5138.5</v>
      </c>
      <c r="L1491" s="110">
        <v>5307</v>
      </c>
    </row>
    <row r="1492" spans="1:12" x14ac:dyDescent="0.2">
      <c r="A1492" t="s">
        <v>39</v>
      </c>
      <c r="B1492" t="s">
        <v>105</v>
      </c>
      <c r="C1492" t="s">
        <v>192</v>
      </c>
      <c r="D1492" s="110">
        <v>5753.5</v>
      </c>
      <c r="E1492" s="110">
        <v>5753.5</v>
      </c>
      <c r="F1492" s="110">
        <v>4508.5</v>
      </c>
      <c r="I1492" s="110">
        <v>653.5</v>
      </c>
      <c r="J1492" s="110">
        <v>1495.5</v>
      </c>
      <c r="K1492" s="110">
        <v>2009.5</v>
      </c>
    </row>
    <row r="1493" spans="1:12" x14ac:dyDescent="0.2">
      <c r="A1493" t="s">
        <v>39</v>
      </c>
      <c r="B1493" t="s">
        <v>105</v>
      </c>
      <c r="C1493" t="s">
        <v>193</v>
      </c>
      <c r="D1493" s="110">
        <v>6824.5</v>
      </c>
      <c r="E1493" s="110">
        <v>6824.5</v>
      </c>
      <c r="I1493" s="110">
        <v>2414.5</v>
      </c>
      <c r="J1493" s="110">
        <v>2959.5</v>
      </c>
    </row>
    <row r="1494" spans="1:12" x14ac:dyDescent="0.2">
      <c r="A1494" t="s">
        <v>39</v>
      </c>
      <c r="B1494" t="s">
        <v>105</v>
      </c>
      <c r="C1494" t="s">
        <v>194</v>
      </c>
      <c r="D1494" s="110">
        <v>5304</v>
      </c>
      <c r="I1494" s="110">
        <v>1772</v>
      </c>
    </row>
    <row r="1495" spans="1:12" x14ac:dyDescent="0.2">
      <c r="A1495" t="s">
        <v>39</v>
      </c>
      <c r="B1495" t="s">
        <v>111</v>
      </c>
      <c r="C1495" t="s">
        <v>191</v>
      </c>
      <c r="D1495" s="110">
        <v>1268.5</v>
      </c>
      <c r="E1495" s="110">
        <v>933.5</v>
      </c>
      <c r="F1495" s="110">
        <v>933.5</v>
      </c>
      <c r="G1495" s="110">
        <v>933.5</v>
      </c>
      <c r="I1495" s="110">
        <v>3.5</v>
      </c>
      <c r="J1495" s="110">
        <v>103.5</v>
      </c>
      <c r="K1495" s="110">
        <v>103.5</v>
      </c>
      <c r="L1495" s="110">
        <v>103.5</v>
      </c>
    </row>
    <row r="1496" spans="1:12" x14ac:dyDescent="0.2">
      <c r="A1496" t="s">
        <v>39</v>
      </c>
      <c r="B1496" t="s">
        <v>111</v>
      </c>
      <c r="C1496" t="s">
        <v>192</v>
      </c>
      <c r="D1496" s="110">
        <v>3.5</v>
      </c>
      <c r="E1496" s="110">
        <v>3.5</v>
      </c>
      <c r="F1496" s="110">
        <v>3.5</v>
      </c>
      <c r="I1496" s="110">
        <v>3.5</v>
      </c>
      <c r="J1496" s="110">
        <v>3.5</v>
      </c>
      <c r="K1496" s="110">
        <v>3.5</v>
      </c>
    </row>
    <row r="1497" spans="1:12" x14ac:dyDescent="0.2">
      <c r="A1497" t="s">
        <v>39</v>
      </c>
      <c r="B1497" t="s">
        <v>111</v>
      </c>
      <c r="C1497" t="s">
        <v>193</v>
      </c>
      <c r="D1497" s="110">
        <v>1018.5</v>
      </c>
      <c r="E1497" s="110">
        <v>1018.5</v>
      </c>
      <c r="I1497" s="110">
        <v>28.5</v>
      </c>
      <c r="J1497" s="110">
        <v>70</v>
      </c>
    </row>
    <row r="1498" spans="1:12" x14ac:dyDescent="0.2">
      <c r="A1498" t="s">
        <v>39</v>
      </c>
      <c r="B1498" t="s">
        <v>111</v>
      </c>
      <c r="C1498" t="s">
        <v>194</v>
      </c>
      <c r="D1498" s="110">
        <v>207</v>
      </c>
      <c r="I1498" s="110">
        <v>7</v>
      </c>
    </row>
    <row r="1499" spans="1:12" x14ac:dyDescent="0.2">
      <c r="A1499" t="s">
        <v>39</v>
      </c>
      <c r="B1499" t="s">
        <v>109</v>
      </c>
      <c r="C1499" t="s">
        <v>191</v>
      </c>
      <c r="D1499" s="110">
        <v>5977.5</v>
      </c>
      <c r="E1499" s="110">
        <v>5927.5</v>
      </c>
      <c r="F1499" s="110">
        <v>5927.5</v>
      </c>
      <c r="G1499" s="110">
        <v>5927.5</v>
      </c>
      <c r="I1499" s="110">
        <v>3245</v>
      </c>
      <c r="J1499" s="110">
        <v>4050</v>
      </c>
      <c r="K1499" s="110">
        <v>4450</v>
      </c>
      <c r="L1499" s="110">
        <v>4560</v>
      </c>
    </row>
    <row r="1500" spans="1:12" x14ac:dyDescent="0.2">
      <c r="A1500" t="s">
        <v>39</v>
      </c>
      <c r="B1500" t="s">
        <v>109</v>
      </c>
      <c r="C1500" t="s">
        <v>192</v>
      </c>
      <c r="D1500" s="110">
        <v>4133</v>
      </c>
      <c r="E1500" s="110">
        <v>4133</v>
      </c>
      <c r="F1500" s="110">
        <v>4133</v>
      </c>
      <c r="I1500" s="110">
        <v>3678</v>
      </c>
      <c r="J1500" s="110">
        <v>3878</v>
      </c>
      <c r="K1500" s="110">
        <v>4005.5</v>
      </c>
    </row>
    <row r="1501" spans="1:12" x14ac:dyDescent="0.2">
      <c r="A1501" t="s">
        <v>39</v>
      </c>
      <c r="B1501" t="s">
        <v>109</v>
      </c>
      <c r="C1501" t="s">
        <v>193</v>
      </c>
      <c r="D1501" s="110">
        <v>6363</v>
      </c>
      <c r="E1501" s="110">
        <v>6363</v>
      </c>
      <c r="I1501" s="110">
        <v>800</v>
      </c>
      <c r="J1501" s="110">
        <v>1940</v>
      </c>
    </row>
    <row r="1502" spans="1:12" x14ac:dyDescent="0.2">
      <c r="A1502" t="s">
        <v>39</v>
      </c>
      <c r="B1502" t="s">
        <v>109</v>
      </c>
      <c r="C1502" t="s">
        <v>194</v>
      </c>
      <c r="D1502" s="110">
        <v>4321</v>
      </c>
      <c r="I1502" s="110">
        <v>2198</v>
      </c>
    </row>
    <row r="1503" spans="1:12" x14ac:dyDescent="0.2">
      <c r="A1503" t="s">
        <v>39</v>
      </c>
      <c r="B1503" t="s">
        <v>106</v>
      </c>
      <c r="C1503" t="s">
        <v>191</v>
      </c>
      <c r="D1503" s="110">
        <v>5395.03</v>
      </c>
      <c r="E1503" s="110">
        <v>5395.03</v>
      </c>
      <c r="F1503" s="110">
        <v>5395.03</v>
      </c>
      <c r="G1503" s="110">
        <v>5395.03</v>
      </c>
      <c r="I1503" s="110">
        <v>4450.03</v>
      </c>
      <c r="J1503" s="110">
        <v>5395.03</v>
      </c>
      <c r="K1503" s="110">
        <v>5395.03</v>
      </c>
      <c r="L1503" s="110">
        <v>5395.03</v>
      </c>
    </row>
    <row r="1504" spans="1:12" x14ac:dyDescent="0.2">
      <c r="A1504" t="s">
        <v>39</v>
      </c>
      <c r="B1504" t="s">
        <v>106</v>
      </c>
      <c r="C1504" t="s">
        <v>192</v>
      </c>
      <c r="D1504" s="110">
        <v>3750</v>
      </c>
      <c r="E1504" s="110">
        <v>3750</v>
      </c>
      <c r="F1504" s="110">
        <v>3750</v>
      </c>
      <c r="I1504" s="110">
        <v>3350</v>
      </c>
      <c r="J1504" s="110">
        <v>3350</v>
      </c>
      <c r="K1504" s="110">
        <v>3350</v>
      </c>
    </row>
    <row r="1505" spans="1:12" x14ac:dyDescent="0.2">
      <c r="A1505" t="s">
        <v>39</v>
      </c>
      <c r="B1505" t="s">
        <v>106</v>
      </c>
      <c r="C1505" t="s">
        <v>193</v>
      </c>
      <c r="D1505" s="110">
        <v>1895</v>
      </c>
      <c r="E1505" s="110">
        <v>1895</v>
      </c>
      <c r="I1505" s="110">
        <v>1885</v>
      </c>
      <c r="J1505" s="110">
        <v>1885</v>
      </c>
    </row>
    <row r="1506" spans="1:12" x14ac:dyDescent="0.2">
      <c r="A1506" t="s">
        <v>39</v>
      </c>
      <c r="B1506" t="s">
        <v>106</v>
      </c>
      <c r="C1506" t="s">
        <v>194</v>
      </c>
      <c r="D1506" s="110">
        <v>3185</v>
      </c>
      <c r="I1506" s="110">
        <v>3185</v>
      </c>
    </row>
    <row r="1507" spans="1:12" x14ac:dyDescent="0.2">
      <c r="A1507" t="s">
        <v>39</v>
      </c>
      <c r="B1507" t="s">
        <v>107</v>
      </c>
      <c r="C1507" t="s">
        <v>191</v>
      </c>
      <c r="D1507" s="110">
        <v>3630</v>
      </c>
      <c r="E1507" s="110">
        <v>3630</v>
      </c>
      <c r="F1507" s="110">
        <v>3630</v>
      </c>
      <c r="G1507" s="110">
        <v>3630</v>
      </c>
      <c r="I1507" s="110">
        <v>3550</v>
      </c>
      <c r="J1507" s="110">
        <v>3550</v>
      </c>
      <c r="K1507" s="110">
        <v>3630</v>
      </c>
      <c r="L1507" s="110">
        <v>3630</v>
      </c>
    </row>
    <row r="1508" spans="1:12" x14ac:dyDescent="0.2">
      <c r="A1508" t="s">
        <v>39</v>
      </c>
      <c r="B1508" t="s">
        <v>107</v>
      </c>
      <c r="C1508" t="s">
        <v>192</v>
      </c>
      <c r="D1508" s="110">
        <v>3895</v>
      </c>
      <c r="E1508" s="110">
        <v>3895</v>
      </c>
      <c r="F1508" s="110">
        <v>3895</v>
      </c>
      <c r="I1508" s="110">
        <v>3585</v>
      </c>
      <c r="J1508" s="110">
        <v>3895</v>
      </c>
      <c r="K1508" s="110">
        <v>3895</v>
      </c>
    </row>
    <row r="1509" spans="1:12" x14ac:dyDescent="0.2">
      <c r="A1509" t="s">
        <v>39</v>
      </c>
      <c r="B1509" t="s">
        <v>107</v>
      </c>
      <c r="C1509" t="s">
        <v>193</v>
      </c>
      <c r="D1509" s="110">
        <v>7340</v>
      </c>
      <c r="E1509" s="110">
        <v>7155</v>
      </c>
      <c r="I1509" s="110">
        <v>6845</v>
      </c>
      <c r="J1509" s="110">
        <v>7155</v>
      </c>
    </row>
    <row r="1510" spans="1:12" x14ac:dyDescent="0.2">
      <c r="A1510" t="s">
        <v>39</v>
      </c>
      <c r="B1510" t="s">
        <v>107</v>
      </c>
      <c r="C1510" t="s">
        <v>194</v>
      </c>
      <c r="D1510" s="110">
        <v>6395.7</v>
      </c>
      <c r="I1510" s="110">
        <v>6210.7</v>
      </c>
    </row>
    <row r="1511" spans="1:12" x14ac:dyDescent="0.2">
      <c r="A1511" t="s">
        <v>39</v>
      </c>
      <c r="B1511" t="s">
        <v>108</v>
      </c>
      <c r="C1511" t="s">
        <v>191</v>
      </c>
      <c r="D1511" s="110">
        <v>2528</v>
      </c>
      <c r="E1511" s="110">
        <v>2528</v>
      </c>
      <c r="F1511" s="110">
        <v>2528</v>
      </c>
      <c r="G1511" s="110">
        <v>2528</v>
      </c>
      <c r="I1511" s="110">
        <v>2528</v>
      </c>
      <c r="J1511" s="110">
        <v>2528</v>
      </c>
      <c r="K1511" s="110">
        <v>2528</v>
      </c>
      <c r="L1511" s="110">
        <v>2528</v>
      </c>
    </row>
    <row r="1512" spans="1:12" x14ac:dyDescent="0.2">
      <c r="A1512" t="s">
        <v>39</v>
      </c>
      <c r="B1512" t="s">
        <v>108</v>
      </c>
      <c r="C1512" t="s">
        <v>192</v>
      </c>
      <c r="D1512" s="110">
        <v>807</v>
      </c>
      <c r="E1512" s="110">
        <v>807</v>
      </c>
      <c r="F1512" s="110">
        <v>807</v>
      </c>
      <c r="I1512" s="110">
        <v>807</v>
      </c>
      <c r="J1512" s="110">
        <v>807</v>
      </c>
      <c r="K1512" s="110">
        <v>807</v>
      </c>
    </row>
    <row r="1513" spans="1:12" x14ac:dyDescent="0.2">
      <c r="A1513" t="s">
        <v>39</v>
      </c>
      <c r="B1513" t="s">
        <v>108</v>
      </c>
      <c r="C1513" t="s">
        <v>193</v>
      </c>
      <c r="D1513" s="110">
        <v>880</v>
      </c>
      <c r="E1513" s="110">
        <v>880</v>
      </c>
      <c r="I1513" s="110">
        <v>880</v>
      </c>
      <c r="J1513" s="110">
        <v>880</v>
      </c>
    </row>
    <row r="1514" spans="1:12" x14ac:dyDescent="0.2">
      <c r="A1514" t="s">
        <v>39</v>
      </c>
      <c r="B1514" t="s">
        <v>108</v>
      </c>
      <c r="C1514" t="s">
        <v>194</v>
      </c>
      <c r="D1514" s="110">
        <v>2182</v>
      </c>
      <c r="I1514" s="110">
        <v>2182</v>
      </c>
    </row>
    <row r="1515" spans="1:12" x14ac:dyDescent="0.2">
      <c r="A1515" t="s">
        <v>39</v>
      </c>
      <c r="B1515" t="s">
        <v>70</v>
      </c>
      <c r="C1515" t="s">
        <v>191</v>
      </c>
      <c r="D1515" s="110">
        <v>3866</v>
      </c>
      <c r="E1515" s="110">
        <v>3866</v>
      </c>
      <c r="F1515" s="110">
        <v>3866</v>
      </c>
      <c r="G1515" s="110">
        <v>3866</v>
      </c>
      <c r="I1515" s="110">
        <v>3866</v>
      </c>
      <c r="J1515" s="110">
        <v>3866</v>
      </c>
      <c r="K1515" s="110">
        <v>3866</v>
      </c>
      <c r="L1515" s="110">
        <v>3866</v>
      </c>
    </row>
    <row r="1516" spans="1:12" x14ac:dyDescent="0.2">
      <c r="A1516" t="s">
        <v>39</v>
      </c>
      <c r="B1516" t="s">
        <v>70</v>
      </c>
      <c r="C1516" t="s">
        <v>192</v>
      </c>
      <c r="D1516" s="110">
        <v>4769</v>
      </c>
      <c r="E1516" s="110">
        <v>4769</v>
      </c>
      <c r="F1516" s="110">
        <v>4769</v>
      </c>
      <c r="I1516" s="110">
        <v>3898.75</v>
      </c>
      <c r="J1516" s="110">
        <v>3898.75</v>
      </c>
      <c r="K1516" s="110">
        <v>3898.75</v>
      </c>
    </row>
    <row r="1517" spans="1:12" x14ac:dyDescent="0.2">
      <c r="A1517" t="s">
        <v>39</v>
      </c>
      <c r="B1517" t="s">
        <v>70</v>
      </c>
      <c r="C1517" t="s">
        <v>193</v>
      </c>
      <c r="D1517" s="110">
        <v>2716</v>
      </c>
      <c r="E1517" s="110">
        <v>2416</v>
      </c>
      <c r="I1517" s="110">
        <v>2416</v>
      </c>
      <c r="J1517" s="110">
        <v>2416</v>
      </c>
    </row>
    <row r="1518" spans="1:12" x14ac:dyDescent="0.2">
      <c r="A1518" t="s">
        <v>39</v>
      </c>
      <c r="B1518" t="s">
        <v>70</v>
      </c>
      <c r="C1518" t="s">
        <v>194</v>
      </c>
      <c r="D1518" s="110">
        <v>3998</v>
      </c>
      <c r="I1518" s="110">
        <v>2482</v>
      </c>
    </row>
    <row r="1519" spans="1:12" x14ac:dyDescent="0.2">
      <c r="A1519" t="s">
        <v>39</v>
      </c>
      <c r="B1519" t="s">
        <v>110</v>
      </c>
      <c r="C1519" t="s">
        <v>191</v>
      </c>
      <c r="D1519" s="110">
        <v>68069.5</v>
      </c>
      <c r="E1519" s="110">
        <v>60822</v>
      </c>
      <c r="F1519" s="110">
        <v>59425.5</v>
      </c>
      <c r="G1519" s="110">
        <v>59425.5</v>
      </c>
      <c r="I1519" s="110">
        <v>32051</v>
      </c>
      <c r="J1519" s="110">
        <v>51323.5</v>
      </c>
      <c r="K1519" s="110">
        <v>53786.5</v>
      </c>
      <c r="L1519" s="110">
        <v>54670.5</v>
      </c>
    </row>
    <row r="1520" spans="1:12" x14ac:dyDescent="0.2">
      <c r="A1520" t="s">
        <v>39</v>
      </c>
      <c r="B1520" t="s">
        <v>110</v>
      </c>
      <c r="C1520" t="s">
        <v>192</v>
      </c>
      <c r="D1520" s="110">
        <v>55505.5</v>
      </c>
      <c r="E1520" s="110">
        <v>51333</v>
      </c>
      <c r="F1520" s="110">
        <v>49573</v>
      </c>
      <c r="I1520" s="110">
        <v>30050.19</v>
      </c>
      <c r="J1520" s="110">
        <v>44853.69</v>
      </c>
      <c r="K1520" s="110">
        <v>46805.69</v>
      </c>
    </row>
    <row r="1521" spans="1:12" x14ac:dyDescent="0.2">
      <c r="A1521" t="s">
        <v>39</v>
      </c>
      <c r="B1521" t="s">
        <v>110</v>
      </c>
      <c r="C1521" t="s">
        <v>193</v>
      </c>
      <c r="D1521" s="110">
        <v>38493</v>
      </c>
      <c r="E1521" s="110">
        <v>36452.75</v>
      </c>
      <c r="I1521" s="110">
        <v>18206.5</v>
      </c>
      <c r="J1521" s="110">
        <v>30658.25</v>
      </c>
    </row>
    <row r="1522" spans="1:12" x14ac:dyDescent="0.2">
      <c r="A1522" t="s">
        <v>39</v>
      </c>
      <c r="B1522" t="s">
        <v>110</v>
      </c>
      <c r="C1522" t="s">
        <v>194</v>
      </c>
      <c r="D1522" s="110">
        <v>30801.5</v>
      </c>
      <c r="I1522" s="110">
        <v>17025.5</v>
      </c>
    </row>
    <row r="1523" spans="1:12" x14ac:dyDescent="0.2">
      <c r="A1523" t="s">
        <v>40</v>
      </c>
      <c r="B1523" t="s">
        <v>104</v>
      </c>
      <c r="C1523" t="s">
        <v>191</v>
      </c>
      <c r="D1523" s="110">
        <v>171606.95</v>
      </c>
      <c r="E1523" s="110">
        <v>171386.95</v>
      </c>
      <c r="F1523" s="110">
        <v>171386.95</v>
      </c>
      <c r="G1523" s="110">
        <v>171306.95</v>
      </c>
      <c r="I1523" s="110">
        <v>696.8</v>
      </c>
      <c r="J1523" s="110">
        <v>4918.59</v>
      </c>
      <c r="K1523" s="110">
        <v>8887.26</v>
      </c>
      <c r="L1523" s="110">
        <v>10843.6</v>
      </c>
    </row>
    <row r="1524" spans="1:12" x14ac:dyDescent="0.2">
      <c r="A1524" t="s">
        <v>40</v>
      </c>
      <c r="B1524" t="s">
        <v>104</v>
      </c>
      <c r="C1524" t="s">
        <v>192</v>
      </c>
      <c r="D1524" s="110">
        <v>93761.25</v>
      </c>
      <c r="E1524" s="110">
        <v>92186</v>
      </c>
      <c r="F1524" s="110">
        <v>91498.92</v>
      </c>
      <c r="I1524" s="110">
        <v>2805.5</v>
      </c>
      <c r="J1524" s="110">
        <v>10809.32</v>
      </c>
      <c r="K1524" s="110">
        <v>14479.59</v>
      </c>
    </row>
    <row r="1525" spans="1:12" x14ac:dyDescent="0.2">
      <c r="A1525" t="s">
        <v>40</v>
      </c>
      <c r="B1525" t="s">
        <v>104</v>
      </c>
      <c r="C1525" t="s">
        <v>193</v>
      </c>
      <c r="D1525" s="110">
        <v>111640.5</v>
      </c>
      <c r="E1525" s="110">
        <v>111418</v>
      </c>
      <c r="I1525" s="110">
        <v>3912.43</v>
      </c>
      <c r="J1525" s="110">
        <v>7402.82</v>
      </c>
    </row>
    <row r="1526" spans="1:12" x14ac:dyDescent="0.2">
      <c r="A1526" t="s">
        <v>40</v>
      </c>
      <c r="B1526" t="s">
        <v>104</v>
      </c>
      <c r="C1526" t="s">
        <v>194</v>
      </c>
      <c r="D1526" s="110">
        <v>85283.5</v>
      </c>
      <c r="I1526" s="110">
        <v>1098.56</v>
      </c>
    </row>
    <row r="1527" spans="1:12" x14ac:dyDescent="0.2">
      <c r="A1527" t="s">
        <v>40</v>
      </c>
      <c r="B1527" t="s">
        <v>140</v>
      </c>
      <c r="C1527" t="s">
        <v>191</v>
      </c>
      <c r="D1527" s="110">
        <v>52988</v>
      </c>
      <c r="E1527" s="110">
        <v>52988</v>
      </c>
      <c r="F1527" s="110">
        <v>52988</v>
      </c>
      <c r="G1527" s="110">
        <v>52988</v>
      </c>
    </row>
    <row r="1528" spans="1:12" x14ac:dyDescent="0.2">
      <c r="A1528" t="s">
        <v>40</v>
      </c>
      <c r="B1528" t="s">
        <v>140</v>
      </c>
      <c r="C1528" t="s">
        <v>192</v>
      </c>
    </row>
    <row r="1529" spans="1:12" x14ac:dyDescent="0.2">
      <c r="A1529" t="s">
        <v>40</v>
      </c>
      <c r="B1529" t="s">
        <v>140</v>
      </c>
      <c r="C1529" t="s">
        <v>193</v>
      </c>
    </row>
    <row r="1530" spans="1:12" x14ac:dyDescent="0.2">
      <c r="A1530" t="s">
        <v>40</v>
      </c>
      <c r="B1530" t="s">
        <v>140</v>
      </c>
      <c r="C1530" t="s">
        <v>194</v>
      </c>
    </row>
    <row r="1531" spans="1:12" x14ac:dyDescent="0.2">
      <c r="A1531" t="s">
        <v>40</v>
      </c>
      <c r="B1531" t="s">
        <v>105</v>
      </c>
      <c r="C1531" t="s">
        <v>191</v>
      </c>
      <c r="D1531" s="110">
        <v>11718</v>
      </c>
      <c r="E1531" s="110">
        <v>11718</v>
      </c>
      <c r="F1531" s="110">
        <v>11718</v>
      </c>
      <c r="G1531" s="110">
        <v>11718</v>
      </c>
      <c r="I1531" s="110">
        <v>1043</v>
      </c>
      <c r="J1531" s="110">
        <v>2743</v>
      </c>
      <c r="K1531" s="110">
        <v>3414</v>
      </c>
      <c r="L1531" s="110">
        <v>5127.5</v>
      </c>
    </row>
    <row r="1532" spans="1:12" x14ac:dyDescent="0.2">
      <c r="A1532" t="s">
        <v>40</v>
      </c>
      <c r="B1532" t="s">
        <v>105</v>
      </c>
      <c r="C1532" t="s">
        <v>192</v>
      </c>
      <c r="D1532" s="110">
        <v>15315.6</v>
      </c>
      <c r="E1532" s="110">
        <v>15315.6</v>
      </c>
      <c r="F1532" s="110">
        <v>15315.6</v>
      </c>
      <c r="I1532" s="110">
        <v>4493.5</v>
      </c>
      <c r="J1532" s="110">
        <v>7010.1</v>
      </c>
      <c r="K1532" s="110">
        <v>7135.1</v>
      </c>
    </row>
    <row r="1533" spans="1:12" x14ac:dyDescent="0.2">
      <c r="A1533" t="s">
        <v>40</v>
      </c>
      <c r="B1533" t="s">
        <v>105</v>
      </c>
      <c r="C1533" t="s">
        <v>193</v>
      </c>
      <c r="D1533" s="110">
        <v>17851.3</v>
      </c>
      <c r="E1533" s="110">
        <v>17538.8</v>
      </c>
      <c r="I1533" s="110">
        <v>2445.5</v>
      </c>
      <c r="J1533" s="110">
        <v>4114</v>
      </c>
    </row>
    <row r="1534" spans="1:12" x14ac:dyDescent="0.2">
      <c r="A1534" t="s">
        <v>40</v>
      </c>
      <c r="B1534" t="s">
        <v>105</v>
      </c>
      <c r="C1534" t="s">
        <v>194</v>
      </c>
      <c r="D1534" s="110">
        <v>12920</v>
      </c>
      <c r="I1534" s="110">
        <v>2426.5</v>
      </c>
    </row>
    <row r="1535" spans="1:12" x14ac:dyDescent="0.2">
      <c r="A1535" t="s">
        <v>40</v>
      </c>
      <c r="B1535" t="s">
        <v>111</v>
      </c>
      <c r="C1535" t="s">
        <v>191</v>
      </c>
      <c r="D1535" s="110">
        <v>1300</v>
      </c>
      <c r="E1535" s="110">
        <v>1300</v>
      </c>
      <c r="F1535" s="110">
        <v>1200</v>
      </c>
      <c r="G1535" s="110">
        <v>1200</v>
      </c>
      <c r="I1535" s="110">
        <v>150</v>
      </c>
      <c r="J1535" s="110">
        <v>350</v>
      </c>
      <c r="K1535" s="110">
        <v>450</v>
      </c>
      <c r="L1535" s="110">
        <v>450</v>
      </c>
    </row>
    <row r="1536" spans="1:12" x14ac:dyDescent="0.2">
      <c r="A1536" t="s">
        <v>40</v>
      </c>
      <c r="B1536" t="s">
        <v>111</v>
      </c>
      <c r="C1536" t="s">
        <v>192</v>
      </c>
      <c r="D1536" s="110">
        <v>603.5</v>
      </c>
      <c r="E1536" s="110">
        <v>303.5</v>
      </c>
      <c r="F1536" s="110">
        <v>303.5</v>
      </c>
      <c r="I1536" s="110">
        <v>100</v>
      </c>
      <c r="J1536" s="110">
        <v>100</v>
      </c>
      <c r="K1536" s="110">
        <v>100</v>
      </c>
    </row>
    <row r="1537" spans="1:12" x14ac:dyDescent="0.2">
      <c r="A1537" t="s">
        <v>40</v>
      </c>
      <c r="B1537" t="s">
        <v>111</v>
      </c>
      <c r="C1537" t="s">
        <v>193</v>
      </c>
      <c r="D1537" s="110">
        <v>560.5</v>
      </c>
      <c r="E1537" s="110">
        <v>460.5</v>
      </c>
      <c r="I1537" s="110">
        <v>253.5</v>
      </c>
      <c r="J1537" s="110">
        <v>257</v>
      </c>
    </row>
    <row r="1538" spans="1:12" x14ac:dyDescent="0.2">
      <c r="A1538" t="s">
        <v>40</v>
      </c>
      <c r="B1538" t="s">
        <v>111</v>
      </c>
      <c r="C1538" t="s">
        <v>194</v>
      </c>
      <c r="D1538" s="110">
        <v>603.5</v>
      </c>
      <c r="I1538" s="110">
        <v>100</v>
      </c>
    </row>
    <row r="1539" spans="1:12" x14ac:dyDescent="0.2">
      <c r="A1539" t="s">
        <v>40</v>
      </c>
      <c r="B1539" t="s">
        <v>109</v>
      </c>
      <c r="C1539" t="s">
        <v>191</v>
      </c>
      <c r="D1539" s="110">
        <v>29312.5</v>
      </c>
      <c r="E1539" s="110">
        <v>29371.5</v>
      </c>
      <c r="F1539" s="110">
        <v>29640.6</v>
      </c>
      <c r="G1539" s="110">
        <v>29909.7</v>
      </c>
      <c r="I1539" s="110">
        <v>5054.2</v>
      </c>
      <c r="J1539" s="110">
        <v>13958.4</v>
      </c>
      <c r="K1539" s="110">
        <v>17611.8</v>
      </c>
      <c r="L1539" s="110">
        <v>17611.8</v>
      </c>
    </row>
    <row r="1540" spans="1:12" x14ac:dyDescent="0.2">
      <c r="A1540" t="s">
        <v>40</v>
      </c>
      <c r="B1540" t="s">
        <v>109</v>
      </c>
      <c r="C1540" t="s">
        <v>192</v>
      </c>
      <c r="D1540" s="110">
        <v>27111.9</v>
      </c>
      <c r="E1540" s="110">
        <v>27111.9</v>
      </c>
      <c r="F1540" s="110">
        <v>28516</v>
      </c>
      <c r="I1540" s="110">
        <v>4315</v>
      </c>
      <c r="J1540" s="110">
        <v>13418.4</v>
      </c>
      <c r="K1540" s="110">
        <v>15271.17</v>
      </c>
    </row>
    <row r="1541" spans="1:12" x14ac:dyDescent="0.2">
      <c r="A1541" t="s">
        <v>40</v>
      </c>
      <c r="B1541" t="s">
        <v>109</v>
      </c>
      <c r="C1541" t="s">
        <v>193</v>
      </c>
      <c r="D1541" s="110">
        <v>24583.7</v>
      </c>
      <c r="E1541" s="110">
        <v>25671.9</v>
      </c>
      <c r="I1541" s="110">
        <v>7902.2</v>
      </c>
      <c r="J1541" s="110">
        <v>13245.94</v>
      </c>
    </row>
    <row r="1542" spans="1:12" x14ac:dyDescent="0.2">
      <c r="A1542" t="s">
        <v>40</v>
      </c>
      <c r="B1542" t="s">
        <v>109</v>
      </c>
      <c r="C1542" t="s">
        <v>194</v>
      </c>
      <c r="D1542" s="110">
        <v>22865.4</v>
      </c>
      <c r="I1542" s="110">
        <v>7751.7</v>
      </c>
    </row>
    <row r="1543" spans="1:12" x14ac:dyDescent="0.2">
      <c r="A1543" t="s">
        <v>40</v>
      </c>
      <c r="B1543" t="s">
        <v>106</v>
      </c>
      <c r="C1543" t="s">
        <v>191</v>
      </c>
      <c r="D1543" s="110">
        <v>48154</v>
      </c>
      <c r="E1543" s="110">
        <v>48154</v>
      </c>
      <c r="F1543" s="110">
        <v>48154</v>
      </c>
      <c r="G1543" s="110">
        <v>48154</v>
      </c>
      <c r="I1543" s="110">
        <v>48154</v>
      </c>
      <c r="J1543" s="110">
        <v>48154</v>
      </c>
      <c r="K1543" s="110">
        <v>48154</v>
      </c>
      <c r="L1543" s="110">
        <v>48154</v>
      </c>
    </row>
    <row r="1544" spans="1:12" x14ac:dyDescent="0.2">
      <c r="A1544" t="s">
        <v>40</v>
      </c>
      <c r="B1544" t="s">
        <v>106</v>
      </c>
      <c r="C1544" t="s">
        <v>192</v>
      </c>
      <c r="D1544" s="110">
        <v>14910</v>
      </c>
      <c r="E1544" s="110">
        <v>14910</v>
      </c>
      <c r="F1544" s="110">
        <v>14910</v>
      </c>
      <c r="I1544" s="110">
        <v>14090</v>
      </c>
      <c r="J1544" s="110">
        <v>14510</v>
      </c>
      <c r="K1544" s="110">
        <v>14510</v>
      </c>
    </row>
    <row r="1545" spans="1:12" x14ac:dyDescent="0.2">
      <c r="A1545" t="s">
        <v>40</v>
      </c>
      <c r="B1545" t="s">
        <v>106</v>
      </c>
      <c r="C1545" t="s">
        <v>193</v>
      </c>
      <c r="D1545" s="110">
        <v>25623</v>
      </c>
      <c r="E1545" s="110">
        <v>25623</v>
      </c>
      <c r="I1545" s="110">
        <v>24023</v>
      </c>
      <c r="J1545" s="110">
        <v>24023</v>
      </c>
    </row>
    <row r="1546" spans="1:12" x14ac:dyDescent="0.2">
      <c r="A1546" t="s">
        <v>40</v>
      </c>
      <c r="B1546" t="s">
        <v>106</v>
      </c>
      <c r="C1546" t="s">
        <v>194</v>
      </c>
      <c r="D1546" s="110">
        <v>236225</v>
      </c>
      <c r="I1546" s="110">
        <v>234485</v>
      </c>
    </row>
    <row r="1547" spans="1:12" x14ac:dyDescent="0.2">
      <c r="A1547" t="s">
        <v>40</v>
      </c>
      <c r="B1547" t="s">
        <v>107</v>
      </c>
      <c r="C1547" t="s">
        <v>191</v>
      </c>
      <c r="D1547" s="110">
        <v>20770</v>
      </c>
      <c r="E1547" s="110">
        <v>20770</v>
      </c>
      <c r="F1547" s="110">
        <v>20770</v>
      </c>
      <c r="G1547" s="110">
        <v>20770</v>
      </c>
      <c r="I1547" s="110">
        <v>20585</v>
      </c>
      <c r="J1547" s="110">
        <v>20770</v>
      </c>
      <c r="K1547" s="110">
        <v>20770</v>
      </c>
      <c r="L1547" s="110">
        <v>20770</v>
      </c>
    </row>
    <row r="1548" spans="1:12" x14ac:dyDescent="0.2">
      <c r="A1548" t="s">
        <v>40</v>
      </c>
      <c r="B1548" t="s">
        <v>107</v>
      </c>
      <c r="C1548" t="s">
        <v>192</v>
      </c>
      <c r="D1548" s="110">
        <v>22375</v>
      </c>
      <c r="E1548" s="110">
        <v>22375</v>
      </c>
      <c r="F1548" s="110">
        <v>22375</v>
      </c>
      <c r="I1548" s="110">
        <v>22180</v>
      </c>
      <c r="J1548" s="110">
        <v>22375</v>
      </c>
      <c r="K1548" s="110">
        <v>22375</v>
      </c>
    </row>
    <row r="1549" spans="1:12" x14ac:dyDescent="0.2">
      <c r="A1549" t="s">
        <v>40</v>
      </c>
      <c r="B1549" t="s">
        <v>107</v>
      </c>
      <c r="C1549" t="s">
        <v>193</v>
      </c>
      <c r="D1549" s="110">
        <v>21685</v>
      </c>
      <c r="E1549" s="110">
        <v>21685</v>
      </c>
      <c r="I1549" s="110">
        <v>21685</v>
      </c>
      <c r="J1549" s="110">
        <v>21685</v>
      </c>
    </row>
    <row r="1550" spans="1:12" x14ac:dyDescent="0.2">
      <c r="A1550" t="s">
        <v>40</v>
      </c>
      <c r="B1550" t="s">
        <v>107</v>
      </c>
      <c r="C1550" t="s">
        <v>194</v>
      </c>
      <c r="D1550" s="110">
        <v>31291.61</v>
      </c>
      <c r="I1550" s="110">
        <v>31291.61</v>
      </c>
    </row>
    <row r="1551" spans="1:12" x14ac:dyDescent="0.2">
      <c r="A1551" t="s">
        <v>40</v>
      </c>
      <c r="B1551" t="s">
        <v>108</v>
      </c>
      <c r="C1551" t="s">
        <v>191</v>
      </c>
      <c r="D1551" s="110">
        <v>3351</v>
      </c>
      <c r="E1551" s="110">
        <v>3351</v>
      </c>
      <c r="F1551" s="110">
        <v>3351</v>
      </c>
      <c r="G1551" s="110">
        <v>3351</v>
      </c>
      <c r="I1551" s="110">
        <v>3351</v>
      </c>
      <c r="J1551" s="110">
        <v>3351</v>
      </c>
      <c r="K1551" s="110">
        <v>3351</v>
      </c>
      <c r="L1551" s="110">
        <v>3351</v>
      </c>
    </row>
    <row r="1552" spans="1:12" x14ac:dyDescent="0.2">
      <c r="A1552" t="s">
        <v>40</v>
      </c>
      <c r="B1552" t="s">
        <v>108</v>
      </c>
      <c r="C1552" t="s">
        <v>192</v>
      </c>
      <c r="D1552" s="110">
        <v>4197</v>
      </c>
      <c r="E1552" s="110">
        <v>4197</v>
      </c>
      <c r="F1552" s="110">
        <v>4197</v>
      </c>
      <c r="I1552" s="110">
        <v>3797</v>
      </c>
      <c r="J1552" s="110">
        <v>3797</v>
      </c>
      <c r="K1552" s="110">
        <v>3797</v>
      </c>
    </row>
    <row r="1553" spans="1:12" x14ac:dyDescent="0.2">
      <c r="A1553" t="s">
        <v>40</v>
      </c>
      <c r="B1553" t="s">
        <v>108</v>
      </c>
      <c r="C1553" t="s">
        <v>193</v>
      </c>
      <c r="D1553" s="110">
        <v>5251</v>
      </c>
      <c r="E1553" s="110">
        <v>5251</v>
      </c>
      <c r="I1553" s="110">
        <v>5251</v>
      </c>
      <c r="J1553" s="110">
        <v>5251</v>
      </c>
    </row>
    <row r="1554" spans="1:12" x14ac:dyDescent="0.2">
      <c r="A1554" t="s">
        <v>40</v>
      </c>
      <c r="B1554" t="s">
        <v>108</v>
      </c>
      <c r="C1554" t="s">
        <v>194</v>
      </c>
      <c r="D1554" s="110">
        <v>7508</v>
      </c>
      <c r="I1554" s="110">
        <v>7508</v>
      </c>
    </row>
    <row r="1555" spans="1:12" x14ac:dyDescent="0.2">
      <c r="A1555" t="s">
        <v>40</v>
      </c>
      <c r="B1555" t="s">
        <v>70</v>
      </c>
      <c r="C1555" t="s">
        <v>191</v>
      </c>
      <c r="D1555" s="110">
        <v>8774</v>
      </c>
      <c r="E1555" s="110">
        <v>8774</v>
      </c>
      <c r="F1555" s="110">
        <v>8774</v>
      </c>
      <c r="G1555" s="110">
        <v>8774</v>
      </c>
      <c r="I1555" s="110">
        <v>8366</v>
      </c>
      <c r="J1555" s="110">
        <v>8366</v>
      </c>
      <c r="K1555" s="110">
        <v>8366</v>
      </c>
      <c r="L1555" s="110">
        <v>8366</v>
      </c>
    </row>
    <row r="1556" spans="1:12" x14ac:dyDescent="0.2">
      <c r="A1556" t="s">
        <v>40</v>
      </c>
      <c r="B1556" t="s">
        <v>70</v>
      </c>
      <c r="C1556" t="s">
        <v>192</v>
      </c>
      <c r="D1556" s="110">
        <v>6656</v>
      </c>
      <c r="E1556" s="110">
        <v>6656</v>
      </c>
      <c r="F1556" s="110">
        <v>6656</v>
      </c>
      <c r="I1556" s="110">
        <v>6198</v>
      </c>
      <c r="J1556" s="110">
        <v>6248</v>
      </c>
      <c r="K1556" s="110">
        <v>6248</v>
      </c>
    </row>
    <row r="1557" spans="1:12" x14ac:dyDescent="0.2">
      <c r="A1557" t="s">
        <v>40</v>
      </c>
      <c r="B1557" t="s">
        <v>70</v>
      </c>
      <c r="C1557" t="s">
        <v>193</v>
      </c>
      <c r="D1557" s="110">
        <v>8702</v>
      </c>
      <c r="E1557" s="110">
        <v>8682</v>
      </c>
      <c r="I1557" s="110">
        <v>7954</v>
      </c>
      <c r="J1557" s="110">
        <v>8274</v>
      </c>
    </row>
    <row r="1558" spans="1:12" x14ac:dyDescent="0.2">
      <c r="A1558" t="s">
        <v>40</v>
      </c>
      <c r="B1558" t="s">
        <v>70</v>
      </c>
      <c r="C1558" t="s">
        <v>194</v>
      </c>
      <c r="D1558" s="110">
        <v>7416</v>
      </c>
      <c r="I1558" s="110">
        <v>6142</v>
      </c>
    </row>
    <row r="1559" spans="1:12" x14ac:dyDescent="0.2">
      <c r="A1559" t="s">
        <v>40</v>
      </c>
      <c r="B1559" t="s">
        <v>110</v>
      </c>
      <c r="C1559" t="s">
        <v>191</v>
      </c>
      <c r="D1559" s="110">
        <v>272869.59999999998</v>
      </c>
      <c r="E1559" s="110">
        <v>265045.59999999998</v>
      </c>
      <c r="F1559" s="110">
        <v>264235.59999999998</v>
      </c>
      <c r="G1559" s="110">
        <v>260087.6</v>
      </c>
      <c r="I1559" s="110">
        <v>114412.1</v>
      </c>
      <c r="J1559" s="110">
        <v>191972.14</v>
      </c>
      <c r="K1559" s="110">
        <v>201314.14</v>
      </c>
      <c r="L1559" s="110">
        <v>220661.14</v>
      </c>
    </row>
    <row r="1560" spans="1:12" x14ac:dyDescent="0.2">
      <c r="A1560" t="s">
        <v>40</v>
      </c>
      <c r="B1560" t="s">
        <v>110</v>
      </c>
      <c r="C1560" t="s">
        <v>192</v>
      </c>
      <c r="D1560" s="110">
        <v>276605</v>
      </c>
      <c r="E1560" s="110">
        <v>268492</v>
      </c>
      <c r="F1560" s="110">
        <v>264169</v>
      </c>
      <c r="I1560" s="110">
        <v>130218</v>
      </c>
      <c r="J1560" s="110">
        <v>192095</v>
      </c>
      <c r="K1560" s="110">
        <v>214202.5</v>
      </c>
    </row>
    <row r="1561" spans="1:12" x14ac:dyDescent="0.2">
      <c r="A1561" t="s">
        <v>40</v>
      </c>
      <c r="B1561" t="s">
        <v>110</v>
      </c>
      <c r="C1561" t="s">
        <v>193</v>
      </c>
      <c r="D1561" s="110">
        <v>238280.9</v>
      </c>
      <c r="E1561" s="110">
        <v>221053.26</v>
      </c>
      <c r="I1561" s="110">
        <v>73782.899999999994</v>
      </c>
      <c r="J1561" s="110">
        <v>145100.26</v>
      </c>
    </row>
    <row r="1562" spans="1:12" x14ac:dyDescent="0.2">
      <c r="A1562" t="s">
        <v>40</v>
      </c>
      <c r="B1562" t="s">
        <v>110</v>
      </c>
      <c r="C1562" t="s">
        <v>194</v>
      </c>
      <c r="D1562" s="110">
        <v>379193</v>
      </c>
      <c r="I1562" s="110">
        <v>172281.67</v>
      </c>
    </row>
    <row r="1563" spans="1:12" x14ac:dyDescent="0.2">
      <c r="A1563" t="s">
        <v>224</v>
      </c>
      <c r="B1563" t="s">
        <v>104</v>
      </c>
      <c r="C1563" t="s">
        <v>191</v>
      </c>
      <c r="D1563" s="110">
        <v>1068090.9099999999</v>
      </c>
      <c r="E1563" s="110">
        <v>891273.83</v>
      </c>
      <c r="F1563" s="110">
        <v>1064197.9099999999</v>
      </c>
      <c r="G1563" s="110">
        <v>1063077.9099999999</v>
      </c>
      <c r="I1563" s="110">
        <v>25870.89</v>
      </c>
      <c r="J1563" s="110">
        <v>35285.31</v>
      </c>
      <c r="K1563" s="110">
        <v>58708.74</v>
      </c>
      <c r="L1563" s="110">
        <v>81182.850000000006</v>
      </c>
    </row>
    <row r="1564" spans="1:12" x14ac:dyDescent="0.2">
      <c r="A1564" t="s">
        <v>224</v>
      </c>
      <c r="B1564" t="s">
        <v>104</v>
      </c>
      <c r="C1564" t="s">
        <v>192</v>
      </c>
      <c r="D1564" s="110">
        <v>512913.66</v>
      </c>
      <c r="E1564" s="110">
        <v>686903.62</v>
      </c>
      <c r="F1564" s="110">
        <v>686513.62</v>
      </c>
      <c r="I1564" s="110">
        <v>26135.77</v>
      </c>
      <c r="J1564" s="110">
        <v>44825.21</v>
      </c>
      <c r="K1564" s="110">
        <v>55247.02</v>
      </c>
    </row>
    <row r="1565" spans="1:12" x14ac:dyDescent="0.2">
      <c r="A1565" t="s">
        <v>224</v>
      </c>
      <c r="B1565" t="s">
        <v>104</v>
      </c>
      <c r="C1565" t="s">
        <v>193</v>
      </c>
      <c r="D1565" s="110">
        <v>2322380.02</v>
      </c>
      <c r="E1565" s="110">
        <v>2321100</v>
      </c>
      <c r="I1565" s="110">
        <v>28906.11</v>
      </c>
      <c r="J1565" s="110">
        <v>51372.79</v>
      </c>
    </row>
    <row r="1566" spans="1:12" x14ac:dyDescent="0.2">
      <c r="A1566" t="s">
        <v>224</v>
      </c>
      <c r="B1566" t="s">
        <v>104</v>
      </c>
      <c r="C1566" t="s">
        <v>194</v>
      </c>
      <c r="D1566" s="110">
        <v>1481497.02</v>
      </c>
      <c r="I1566" s="110">
        <v>28729.64</v>
      </c>
    </row>
    <row r="1567" spans="1:12" x14ac:dyDescent="0.2">
      <c r="A1567" t="s">
        <v>224</v>
      </c>
      <c r="B1567" t="s">
        <v>140</v>
      </c>
      <c r="C1567" t="s">
        <v>191</v>
      </c>
      <c r="D1567" s="110">
        <v>525000</v>
      </c>
      <c r="E1567" s="110">
        <v>525000</v>
      </c>
      <c r="F1567" s="110">
        <v>525000</v>
      </c>
      <c r="G1567" s="110">
        <v>525000</v>
      </c>
    </row>
    <row r="1568" spans="1:12" x14ac:dyDescent="0.2">
      <c r="A1568" t="s">
        <v>224</v>
      </c>
      <c r="B1568" t="s">
        <v>140</v>
      </c>
      <c r="C1568" t="s">
        <v>192</v>
      </c>
      <c r="D1568" s="110">
        <v>157918</v>
      </c>
      <c r="E1568" s="110">
        <v>157918</v>
      </c>
      <c r="F1568" s="110">
        <v>157918</v>
      </c>
    </row>
    <row r="1569" spans="1:12" x14ac:dyDescent="0.2">
      <c r="A1569" t="s">
        <v>224</v>
      </c>
      <c r="B1569" t="s">
        <v>140</v>
      </c>
      <c r="C1569" t="s">
        <v>193</v>
      </c>
      <c r="D1569" s="110">
        <v>1627090</v>
      </c>
      <c r="E1569" s="110">
        <v>1627090</v>
      </c>
    </row>
    <row r="1570" spans="1:12" x14ac:dyDescent="0.2">
      <c r="A1570" t="s">
        <v>224</v>
      </c>
      <c r="B1570" t="s">
        <v>140</v>
      </c>
      <c r="C1570" t="s">
        <v>194</v>
      </c>
      <c r="D1570" s="110">
        <v>840836</v>
      </c>
    </row>
    <row r="1571" spans="1:12" x14ac:dyDescent="0.2">
      <c r="A1571" t="s">
        <v>224</v>
      </c>
      <c r="B1571" t="s">
        <v>105</v>
      </c>
      <c r="C1571" t="s">
        <v>191</v>
      </c>
      <c r="D1571" s="110">
        <v>356544.03</v>
      </c>
      <c r="E1571" s="110">
        <v>285202.28000000003</v>
      </c>
      <c r="F1571" s="110">
        <v>345833.78</v>
      </c>
      <c r="G1571" s="110">
        <v>345734.78</v>
      </c>
      <c r="I1571" s="110">
        <v>60542.83</v>
      </c>
      <c r="J1571" s="110">
        <v>91655.9</v>
      </c>
      <c r="K1571" s="110">
        <v>118423.05</v>
      </c>
      <c r="L1571" s="110">
        <v>126670.8</v>
      </c>
    </row>
    <row r="1572" spans="1:12" x14ac:dyDescent="0.2">
      <c r="A1572" t="s">
        <v>224</v>
      </c>
      <c r="B1572" t="s">
        <v>105</v>
      </c>
      <c r="C1572" t="s">
        <v>192</v>
      </c>
      <c r="D1572" s="110">
        <v>309471.2</v>
      </c>
      <c r="E1572" s="110">
        <v>375836.95</v>
      </c>
      <c r="F1572" s="110">
        <v>374708.45</v>
      </c>
      <c r="I1572" s="110">
        <v>58584.72</v>
      </c>
      <c r="J1572" s="110">
        <v>107733.51</v>
      </c>
      <c r="K1572" s="110">
        <v>122149.62</v>
      </c>
    </row>
    <row r="1573" spans="1:12" x14ac:dyDescent="0.2">
      <c r="A1573" t="s">
        <v>224</v>
      </c>
      <c r="B1573" t="s">
        <v>105</v>
      </c>
      <c r="C1573" t="s">
        <v>193</v>
      </c>
      <c r="D1573" s="110">
        <v>384452.28</v>
      </c>
      <c r="E1573" s="110">
        <v>379056.73</v>
      </c>
      <c r="I1573" s="110">
        <v>72441.63</v>
      </c>
      <c r="J1573" s="110">
        <v>107681.93</v>
      </c>
    </row>
    <row r="1574" spans="1:12" x14ac:dyDescent="0.2">
      <c r="A1574" t="s">
        <v>224</v>
      </c>
      <c r="B1574" t="s">
        <v>105</v>
      </c>
      <c r="C1574" t="s">
        <v>194</v>
      </c>
      <c r="D1574" s="110">
        <v>369472.91</v>
      </c>
      <c r="I1574" s="110">
        <v>58682.49</v>
      </c>
    </row>
    <row r="1575" spans="1:12" x14ac:dyDescent="0.2">
      <c r="A1575" t="s">
        <v>224</v>
      </c>
      <c r="B1575" t="s">
        <v>111</v>
      </c>
      <c r="C1575" t="s">
        <v>191</v>
      </c>
      <c r="D1575" s="110">
        <v>9415.5</v>
      </c>
      <c r="E1575" s="110">
        <v>4465.5</v>
      </c>
      <c r="F1575" s="110">
        <v>9415.5</v>
      </c>
      <c r="G1575" s="110">
        <v>9415.5</v>
      </c>
      <c r="I1575" s="110">
        <v>2195.5</v>
      </c>
      <c r="J1575" s="110">
        <v>1745.5</v>
      </c>
      <c r="K1575" s="110">
        <v>3095.5</v>
      </c>
      <c r="L1575" s="110">
        <v>3095.5</v>
      </c>
    </row>
    <row r="1576" spans="1:12" x14ac:dyDescent="0.2">
      <c r="A1576" t="s">
        <v>224</v>
      </c>
      <c r="B1576" t="s">
        <v>111</v>
      </c>
      <c r="C1576" t="s">
        <v>192</v>
      </c>
      <c r="D1576" s="110">
        <v>4488.5</v>
      </c>
      <c r="E1576" s="110">
        <v>10138.5</v>
      </c>
      <c r="F1576" s="110">
        <v>10138.5</v>
      </c>
      <c r="I1576" s="110">
        <v>1640.5</v>
      </c>
      <c r="J1576" s="110">
        <v>3458</v>
      </c>
      <c r="K1576" s="110">
        <v>4058.5</v>
      </c>
    </row>
    <row r="1577" spans="1:12" x14ac:dyDescent="0.2">
      <c r="A1577" t="s">
        <v>224</v>
      </c>
      <c r="B1577" t="s">
        <v>111</v>
      </c>
      <c r="C1577" t="s">
        <v>193</v>
      </c>
      <c r="D1577" s="110">
        <v>10171.5</v>
      </c>
      <c r="E1577" s="110">
        <v>10171.5</v>
      </c>
      <c r="I1577" s="110">
        <v>2191.5</v>
      </c>
      <c r="J1577" s="110">
        <v>2341.5</v>
      </c>
    </row>
    <row r="1578" spans="1:12" x14ac:dyDescent="0.2">
      <c r="A1578" t="s">
        <v>224</v>
      </c>
      <c r="B1578" t="s">
        <v>111</v>
      </c>
      <c r="C1578" t="s">
        <v>194</v>
      </c>
      <c r="D1578" s="110">
        <v>9027.5</v>
      </c>
      <c r="I1578" s="110">
        <v>1403.5</v>
      </c>
    </row>
    <row r="1579" spans="1:12" x14ac:dyDescent="0.2">
      <c r="A1579" t="s">
        <v>224</v>
      </c>
      <c r="B1579" t="s">
        <v>109</v>
      </c>
      <c r="C1579" t="s">
        <v>191</v>
      </c>
      <c r="D1579" s="110">
        <v>475936.07</v>
      </c>
      <c r="E1579" s="110">
        <v>415508.32</v>
      </c>
      <c r="F1579" s="110">
        <v>456634.32</v>
      </c>
      <c r="G1579" s="110">
        <v>454189.57</v>
      </c>
      <c r="I1579" s="110">
        <v>155848.88</v>
      </c>
      <c r="J1579" s="110">
        <v>191481.93</v>
      </c>
      <c r="K1579" s="110">
        <v>242358.51</v>
      </c>
      <c r="L1579" s="110">
        <v>264722.53000000003</v>
      </c>
    </row>
    <row r="1580" spans="1:12" x14ac:dyDescent="0.2">
      <c r="A1580" t="s">
        <v>224</v>
      </c>
      <c r="B1580" t="s">
        <v>109</v>
      </c>
      <c r="C1580" t="s">
        <v>192</v>
      </c>
      <c r="D1580" s="110">
        <v>422194.15</v>
      </c>
      <c r="E1580" s="110">
        <v>474223.7</v>
      </c>
      <c r="F1580" s="110">
        <v>468579.7</v>
      </c>
      <c r="I1580" s="110">
        <v>164162.65</v>
      </c>
      <c r="J1580" s="110">
        <v>252142.22</v>
      </c>
      <c r="K1580" s="110">
        <v>277430.19</v>
      </c>
    </row>
    <row r="1581" spans="1:12" x14ac:dyDescent="0.2">
      <c r="A1581" t="s">
        <v>224</v>
      </c>
      <c r="B1581" t="s">
        <v>109</v>
      </c>
      <c r="C1581" t="s">
        <v>193</v>
      </c>
      <c r="D1581" s="110">
        <v>516963.48</v>
      </c>
      <c r="E1581" s="110">
        <v>512815.48</v>
      </c>
      <c r="I1581" s="110">
        <v>172623.43</v>
      </c>
      <c r="J1581" s="110">
        <v>242021.54</v>
      </c>
    </row>
    <row r="1582" spans="1:12" x14ac:dyDescent="0.2">
      <c r="A1582" t="s">
        <v>224</v>
      </c>
      <c r="B1582" t="s">
        <v>109</v>
      </c>
      <c r="C1582" t="s">
        <v>194</v>
      </c>
      <c r="D1582" s="110">
        <v>519400.35</v>
      </c>
      <c r="I1582" s="110">
        <v>167374.64000000001</v>
      </c>
    </row>
    <row r="1583" spans="1:12" x14ac:dyDescent="0.2">
      <c r="A1583" t="s">
        <v>224</v>
      </c>
      <c r="B1583" t="s">
        <v>106</v>
      </c>
      <c r="C1583" t="s">
        <v>191</v>
      </c>
      <c r="D1583" s="110">
        <v>301312.67</v>
      </c>
      <c r="E1583" s="110">
        <v>300846.67</v>
      </c>
      <c r="F1583" s="110">
        <v>300051.67</v>
      </c>
      <c r="G1583" s="110">
        <v>300841.67</v>
      </c>
      <c r="I1583" s="110">
        <v>288928.17</v>
      </c>
      <c r="J1583" s="110">
        <v>296909.67</v>
      </c>
      <c r="K1583" s="110">
        <v>296509.67</v>
      </c>
      <c r="L1583" s="110">
        <v>297299.67</v>
      </c>
    </row>
    <row r="1584" spans="1:12" x14ac:dyDescent="0.2">
      <c r="A1584" t="s">
        <v>224</v>
      </c>
      <c r="B1584" t="s">
        <v>106</v>
      </c>
      <c r="C1584" t="s">
        <v>192</v>
      </c>
      <c r="D1584" s="110">
        <v>381904.17</v>
      </c>
      <c r="E1584" s="110">
        <v>381029.17</v>
      </c>
      <c r="F1584" s="110">
        <v>382214.17</v>
      </c>
      <c r="I1584" s="110">
        <v>372015.17</v>
      </c>
      <c r="J1584" s="110">
        <v>376739.17</v>
      </c>
      <c r="K1584" s="110">
        <v>377031.67</v>
      </c>
    </row>
    <row r="1585" spans="1:12" x14ac:dyDescent="0.2">
      <c r="A1585" t="s">
        <v>224</v>
      </c>
      <c r="B1585" t="s">
        <v>106</v>
      </c>
      <c r="C1585" t="s">
        <v>193</v>
      </c>
      <c r="D1585" s="110">
        <v>440034.82</v>
      </c>
      <c r="E1585" s="110">
        <v>440357.32</v>
      </c>
      <c r="I1585" s="110">
        <v>431201.82</v>
      </c>
      <c r="J1585" s="110">
        <v>437788.82</v>
      </c>
    </row>
    <row r="1586" spans="1:12" x14ac:dyDescent="0.2">
      <c r="A1586" t="s">
        <v>224</v>
      </c>
      <c r="B1586" t="s">
        <v>106</v>
      </c>
      <c r="C1586" t="s">
        <v>194</v>
      </c>
      <c r="D1586" s="110">
        <v>445194.35</v>
      </c>
      <c r="I1586" s="110">
        <v>433107.45</v>
      </c>
    </row>
    <row r="1587" spans="1:12" x14ac:dyDescent="0.2">
      <c r="A1587" t="s">
        <v>224</v>
      </c>
      <c r="B1587" t="s">
        <v>107</v>
      </c>
      <c r="C1587" t="s">
        <v>191</v>
      </c>
      <c r="D1587" s="110">
        <v>323715.82</v>
      </c>
      <c r="E1587" s="110">
        <v>323810.82</v>
      </c>
      <c r="F1587" s="110">
        <v>323810.82</v>
      </c>
      <c r="G1587" s="110">
        <v>323985.82</v>
      </c>
      <c r="I1587" s="110">
        <v>314256.27</v>
      </c>
      <c r="J1587" s="110">
        <v>318765.77</v>
      </c>
      <c r="K1587" s="110">
        <v>319355.77</v>
      </c>
      <c r="L1587" s="110">
        <v>319355.77</v>
      </c>
    </row>
    <row r="1588" spans="1:12" x14ac:dyDescent="0.2">
      <c r="A1588" t="s">
        <v>224</v>
      </c>
      <c r="B1588" t="s">
        <v>107</v>
      </c>
      <c r="C1588" t="s">
        <v>192</v>
      </c>
      <c r="D1588" s="110">
        <v>350606.69</v>
      </c>
      <c r="E1588" s="110">
        <v>350616.99</v>
      </c>
      <c r="F1588" s="110">
        <v>350431.99</v>
      </c>
      <c r="I1588" s="110">
        <v>342469.45</v>
      </c>
      <c r="J1588" s="110">
        <v>345444.45</v>
      </c>
      <c r="K1588" s="110">
        <v>345444.45</v>
      </c>
    </row>
    <row r="1589" spans="1:12" x14ac:dyDescent="0.2">
      <c r="A1589" t="s">
        <v>224</v>
      </c>
      <c r="B1589" t="s">
        <v>107</v>
      </c>
      <c r="C1589" t="s">
        <v>193</v>
      </c>
      <c r="D1589" s="110">
        <v>387638.9</v>
      </c>
      <c r="E1589" s="110">
        <v>387703.9</v>
      </c>
      <c r="I1589" s="110">
        <v>380316.63</v>
      </c>
      <c r="J1589" s="110">
        <v>381941.63</v>
      </c>
    </row>
    <row r="1590" spans="1:12" x14ac:dyDescent="0.2">
      <c r="A1590" t="s">
        <v>224</v>
      </c>
      <c r="B1590" t="s">
        <v>107</v>
      </c>
      <c r="C1590" t="s">
        <v>194</v>
      </c>
      <c r="D1590" s="110">
        <v>368898.89</v>
      </c>
      <c r="I1590" s="110">
        <v>356981.14</v>
      </c>
    </row>
    <row r="1591" spans="1:12" x14ac:dyDescent="0.2">
      <c r="A1591" t="s">
        <v>224</v>
      </c>
      <c r="B1591" t="s">
        <v>108</v>
      </c>
      <c r="C1591" t="s">
        <v>191</v>
      </c>
      <c r="D1591" s="110">
        <v>130392.26</v>
      </c>
      <c r="E1591" s="110">
        <v>130088.26</v>
      </c>
      <c r="F1591" s="110">
        <v>130170.26</v>
      </c>
      <c r="G1591" s="110">
        <v>130170.26</v>
      </c>
      <c r="I1591" s="110">
        <v>127298.26</v>
      </c>
      <c r="J1591" s="110">
        <v>128656.26</v>
      </c>
      <c r="K1591" s="110">
        <v>128738.26</v>
      </c>
      <c r="L1591" s="110">
        <v>128738.26</v>
      </c>
    </row>
    <row r="1592" spans="1:12" x14ac:dyDescent="0.2">
      <c r="A1592" t="s">
        <v>224</v>
      </c>
      <c r="B1592" t="s">
        <v>108</v>
      </c>
      <c r="C1592" t="s">
        <v>192</v>
      </c>
      <c r="D1592" s="110">
        <v>137816.6</v>
      </c>
      <c r="E1592" s="110">
        <v>137553.60000000001</v>
      </c>
      <c r="F1592" s="110">
        <v>137553.60000000001</v>
      </c>
      <c r="I1592" s="110">
        <v>124781.6</v>
      </c>
      <c r="J1592" s="110">
        <v>127369.60000000001</v>
      </c>
      <c r="K1592" s="110">
        <v>127410.6</v>
      </c>
    </row>
    <row r="1593" spans="1:12" x14ac:dyDescent="0.2">
      <c r="A1593" t="s">
        <v>224</v>
      </c>
      <c r="B1593" t="s">
        <v>108</v>
      </c>
      <c r="C1593" t="s">
        <v>193</v>
      </c>
      <c r="D1593" s="110">
        <v>136136</v>
      </c>
      <c r="E1593" s="110">
        <v>136225</v>
      </c>
      <c r="I1593" s="110">
        <v>129537</v>
      </c>
      <c r="J1593" s="110">
        <v>130558</v>
      </c>
    </row>
    <row r="1594" spans="1:12" x14ac:dyDescent="0.2">
      <c r="A1594" t="s">
        <v>224</v>
      </c>
      <c r="B1594" t="s">
        <v>108</v>
      </c>
      <c r="C1594" t="s">
        <v>194</v>
      </c>
      <c r="D1594" s="110">
        <v>138060</v>
      </c>
      <c r="I1594" s="110">
        <v>128185.5</v>
      </c>
    </row>
    <row r="1595" spans="1:12" x14ac:dyDescent="0.2">
      <c r="A1595" t="s">
        <v>224</v>
      </c>
      <c r="B1595" t="s">
        <v>70</v>
      </c>
      <c r="C1595" t="s">
        <v>191</v>
      </c>
      <c r="D1595" s="110">
        <v>141201.74</v>
      </c>
      <c r="E1595" s="110">
        <v>140709.24</v>
      </c>
      <c r="F1595" s="110">
        <v>140299.24</v>
      </c>
      <c r="G1595" s="110">
        <v>140299.24</v>
      </c>
      <c r="I1595" s="110">
        <v>133601.74</v>
      </c>
      <c r="J1595" s="110">
        <v>136211.74</v>
      </c>
      <c r="K1595" s="110">
        <v>136506.74</v>
      </c>
      <c r="L1595" s="110">
        <v>136506.74</v>
      </c>
    </row>
    <row r="1596" spans="1:12" x14ac:dyDescent="0.2">
      <c r="A1596" t="s">
        <v>224</v>
      </c>
      <c r="B1596" t="s">
        <v>70</v>
      </c>
      <c r="C1596" t="s">
        <v>192</v>
      </c>
      <c r="D1596" s="110">
        <v>165870</v>
      </c>
      <c r="E1596" s="110">
        <v>165367.5</v>
      </c>
      <c r="F1596" s="110">
        <v>165367.5</v>
      </c>
      <c r="I1596" s="110">
        <v>155243</v>
      </c>
      <c r="J1596" s="110">
        <v>157125.5</v>
      </c>
      <c r="K1596" s="110">
        <v>157125.5</v>
      </c>
    </row>
    <row r="1597" spans="1:12" x14ac:dyDescent="0.2">
      <c r="A1597" t="s">
        <v>224</v>
      </c>
      <c r="B1597" t="s">
        <v>70</v>
      </c>
      <c r="C1597" t="s">
        <v>193</v>
      </c>
      <c r="D1597" s="110">
        <v>176678.5</v>
      </c>
      <c r="E1597" s="110">
        <v>176723.5</v>
      </c>
      <c r="I1597" s="110">
        <v>164044.5</v>
      </c>
      <c r="J1597" s="110">
        <v>167049.5</v>
      </c>
    </row>
    <row r="1598" spans="1:12" x14ac:dyDescent="0.2">
      <c r="A1598" t="s">
        <v>224</v>
      </c>
      <c r="B1598" t="s">
        <v>70</v>
      </c>
      <c r="C1598" t="s">
        <v>194</v>
      </c>
      <c r="D1598" s="110">
        <v>165232</v>
      </c>
      <c r="I1598" s="110">
        <v>150171.5</v>
      </c>
    </row>
    <row r="1599" spans="1:12" x14ac:dyDescent="0.2">
      <c r="A1599" t="s">
        <v>224</v>
      </c>
      <c r="B1599" t="s">
        <v>110</v>
      </c>
      <c r="C1599" t="s">
        <v>191</v>
      </c>
      <c r="D1599" s="110">
        <v>1024655.5</v>
      </c>
      <c r="E1599" s="110">
        <v>1148632.5</v>
      </c>
      <c r="F1599" s="110">
        <v>1168716.3999999999</v>
      </c>
      <c r="G1599" s="110">
        <v>1168967.3999999999</v>
      </c>
      <c r="I1599" s="110">
        <v>548359</v>
      </c>
      <c r="J1599" s="110">
        <v>916742.9</v>
      </c>
      <c r="K1599" s="110">
        <v>1008939.15</v>
      </c>
      <c r="L1599" s="110">
        <v>1032193.37</v>
      </c>
    </row>
    <row r="1600" spans="1:12" x14ac:dyDescent="0.2">
      <c r="A1600" t="s">
        <v>224</v>
      </c>
      <c r="B1600" t="s">
        <v>110</v>
      </c>
      <c r="C1600" t="s">
        <v>192</v>
      </c>
      <c r="D1600" s="110">
        <v>1085637.5</v>
      </c>
      <c r="E1600" s="110">
        <v>1250206.6000000001</v>
      </c>
      <c r="F1600" s="110">
        <v>1252358</v>
      </c>
      <c r="I1600" s="110">
        <v>603284.5</v>
      </c>
      <c r="J1600" s="110">
        <v>971948.66</v>
      </c>
      <c r="K1600" s="110">
        <v>1064341.1599999999</v>
      </c>
    </row>
    <row r="1601" spans="1:12" x14ac:dyDescent="0.2">
      <c r="A1601" t="s">
        <v>224</v>
      </c>
      <c r="B1601" t="s">
        <v>110</v>
      </c>
      <c r="C1601" t="s">
        <v>193</v>
      </c>
      <c r="D1601" s="110">
        <v>1028685.3</v>
      </c>
      <c r="E1601" s="110">
        <v>1154809.7</v>
      </c>
      <c r="I1601" s="110">
        <v>588133.80000000005</v>
      </c>
      <c r="J1601" s="110">
        <v>888075.8</v>
      </c>
    </row>
    <row r="1602" spans="1:12" x14ac:dyDescent="0.2">
      <c r="A1602" t="s">
        <v>224</v>
      </c>
      <c r="B1602" t="s">
        <v>110</v>
      </c>
      <c r="C1602" t="s">
        <v>194</v>
      </c>
      <c r="D1602" s="110">
        <v>1011445.4</v>
      </c>
      <c r="I1602" s="110">
        <v>524720.44999999995</v>
      </c>
    </row>
    <row r="1603" spans="1:12" x14ac:dyDescent="0.2">
      <c r="A1603" t="s">
        <v>42</v>
      </c>
      <c r="B1603" t="s">
        <v>104</v>
      </c>
      <c r="C1603" t="s">
        <v>191</v>
      </c>
      <c r="D1603" s="110">
        <v>893250.45</v>
      </c>
      <c r="E1603" s="110">
        <v>889118.45</v>
      </c>
      <c r="F1603" s="110">
        <v>888168.45</v>
      </c>
      <c r="G1603" s="110">
        <v>887818.45</v>
      </c>
      <c r="I1603" s="110">
        <v>3121.85</v>
      </c>
      <c r="J1603" s="110">
        <v>49272</v>
      </c>
      <c r="K1603" s="110">
        <v>65246.13</v>
      </c>
      <c r="L1603" s="110">
        <v>82871.31</v>
      </c>
    </row>
    <row r="1604" spans="1:12" x14ac:dyDescent="0.2">
      <c r="A1604" t="s">
        <v>42</v>
      </c>
      <c r="B1604" t="s">
        <v>104</v>
      </c>
      <c r="C1604" t="s">
        <v>192</v>
      </c>
      <c r="D1604" s="110">
        <v>992706.2</v>
      </c>
      <c r="E1604" s="110">
        <v>990211.5</v>
      </c>
      <c r="F1604" s="110">
        <v>1094071.3</v>
      </c>
      <c r="I1604" s="110">
        <v>35532.9</v>
      </c>
      <c r="J1604" s="110">
        <v>60232.58</v>
      </c>
      <c r="K1604" s="110">
        <v>86165.01</v>
      </c>
    </row>
    <row r="1605" spans="1:12" x14ac:dyDescent="0.2">
      <c r="A1605" t="s">
        <v>42</v>
      </c>
      <c r="B1605" t="s">
        <v>104</v>
      </c>
      <c r="C1605" t="s">
        <v>193</v>
      </c>
      <c r="D1605" s="110">
        <v>1208898.31</v>
      </c>
      <c r="E1605" s="110">
        <v>1195950.51</v>
      </c>
      <c r="I1605" s="110">
        <v>30130.26</v>
      </c>
      <c r="J1605" s="110">
        <v>53299.58</v>
      </c>
    </row>
    <row r="1606" spans="1:12" x14ac:dyDescent="0.2">
      <c r="A1606" t="s">
        <v>42</v>
      </c>
      <c r="B1606" t="s">
        <v>104</v>
      </c>
      <c r="C1606" t="s">
        <v>194</v>
      </c>
      <c r="D1606" s="110">
        <v>1215079.75</v>
      </c>
      <c r="I1606" s="110">
        <v>37121.519999999997</v>
      </c>
    </row>
    <row r="1607" spans="1:12" x14ac:dyDescent="0.2">
      <c r="A1607" t="s">
        <v>42</v>
      </c>
      <c r="B1607" t="s">
        <v>140</v>
      </c>
      <c r="C1607" t="s">
        <v>191</v>
      </c>
      <c r="D1607" s="110">
        <v>160469</v>
      </c>
      <c r="E1607" s="110">
        <v>160469</v>
      </c>
      <c r="F1607" s="110">
        <v>160469</v>
      </c>
      <c r="G1607" s="110">
        <v>160469</v>
      </c>
      <c r="I1607" s="110">
        <v>203</v>
      </c>
      <c r="J1607" s="110">
        <v>203</v>
      </c>
      <c r="K1607" s="110">
        <v>203</v>
      </c>
      <c r="L1607" s="110">
        <v>203</v>
      </c>
    </row>
    <row r="1608" spans="1:12" x14ac:dyDescent="0.2">
      <c r="A1608" t="s">
        <v>42</v>
      </c>
      <c r="B1608" t="s">
        <v>140</v>
      </c>
      <c r="C1608" t="s">
        <v>192</v>
      </c>
      <c r="D1608" s="110">
        <v>108346</v>
      </c>
      <c r="E1608" s="110">
        <v>108346</v>
      </c>
      <c r="F1608" s="110">
        <v>213346</v>
      </c>
      <c r="I1608" s="110">
        <v>206</v>
      </c>
      <c r="J1608" s="110">
        <v>206</v>
      </c>
      <c r="K1608" s="110">
        <v>256</v>
      </c>
    </row>
    <row r="1609" spans="1:12" x14ac:dyDescent="0.2">
      <c r="A1609" t="s">
        <v>42</v>
      </c>
      <c r="B1609" t="s">
        <v>140</v>
      </c>
      <c r="C1609" t="s">
        <v>193</v>
      </c>
      <c r="D1609" s="110">
        <v>378912.5</v>
      </c>
      <c r="E1609" s="110">
        <v>378912.5</v>
      </c>
      <c r="I1609" s="110">
        <v>161.05000000000001</v>
      </c>
      <c r="J1609" s="110">
        <v>239.05</v>
      </c>
    </row>
    <row r="1610" spans="1:12" x14ac:dyDescent="0.2">
      <c r="A1610" t="s">
        <v>42</v>
      </c>
      <c r="B1610" t="s">
        <v>140</v>
      </c>
      <c r="C1610" t="s">
        <v>194</v>
      </c>
      <c r="D1610" s="110">
        <v>585263.5</v>
      </c>
      <c r="I1610" s="110">
        <v>28552.98</v>
      </c>
    </row>
    <row r="1611" spans="1:12" x14ac:dyDescent="0.2">
      <c r="A1611" t="s">
        <v>42</v>
      </c>
      <c r="B1611" t="s">
        <v>105</v>
      </c>
      <c r="C1611" t="s">
        <v>191</v>
      </c>
      <c r="D1611" s="110">
        <v>426849.81</v>
      </c>
      <c r="E1611" s="110">
        <v>411680.31</v>
      </c>
      <c r="F1611" s="110">
        <v>404454.91</v>
      </c>
      <c r="G1611" s="110">
        <v>402168.61</v>
      </c>
      <c r="I1611" s="110">
        <v>32495.35</v>
      </c>
      <c r="J1611" s="110">
        <v>80006.59</v>
      </c>
      <c r="K1611" s="110">
        <v>111590.04</v>
      </c>
      <c r="L1611" s="110">
        <v>124155.09</v>
      </c>
    </row>
    <row r="1612" spans="1:12" x14ac:dyDescent="0.2">
      <c r="A1612" t="s">
        <v>42</v>
      </c>
      <c r="B1612" t="s">
        <v>105</v>
      </c>
      <c r="C1612" t="s">
        <v>192</v>
      </c>
      <c r="D1612" s="110">
        <v>405038.09</v>
      </c>
      <c r="E1612" s="110">
        <v>396774.09</v>
      </c>
      <c r="F1612" s="110">
        <v>394606.49</v>
      </c>
      <c r="I1612" s="110">
        <v>33026.11</v>
      </c>
      <c r="J1612" s="110">
        <v>67540.25</v>
      </c>
      <c r="K1612" s="110">
        <v>95682.03</v>
      </c>
    </row>
    <row r="1613" spans="1:12" x14ac:dyDescent="0.2">
      <c r="A1613" t="s">
        <v>42</v>
      </c>
      <c r="B1613" t="s">
        <v>105</v>
      </c>
      <c r="C1613" t="s">
        <v>193</v>
      </c>
      <c r="D1613" s="110">
        <v>424409.91</v>
      </c>
      <c r="E1613" s="110">
        <v>415731.21</v>
      </c>
      <c r="I1613" s="110">
        <v>35989.019999999997</v>
      </c>
      <c r="J1613" s="110">
        <v>72510.539999999994</v>
      </c>
    </row>
    <row r="1614" spans="1:12" x14ac:dyDescent="0.2">
      <c r="A1614" t="s">
        <v>42</v>
      </c>
      <c r="B1614" t="s">
        <v>105</v>
      </c>
      <c r="C1614" t="s">
        <v>194</v>
      </c>
      <c r="D1614" s="110">
        <v>399606.39</v>
      </c>
      <c r="I1614" s="110">
        <v>34083.51</v>
      </c>
    </row>
    <row r="1615" spans="1:12" x14ac:dyDescent="0.2">
      <c r="A1615" t="s">
        <v>42</v>
      </c>
      <c r="B1615" t="s">
        <v>111</v>
      </c>
      <c r="C1615" t="s">
        <v>191</v>
      </c>
      <c r="D1615" s="110">
        <v>61410.5</v>
      </c>
      <c r="E1615" s="110">
        <v>61660.5</v>
      </c>
      <c r="F1615" s="110">
        <v>61660.5</v>
      </c>
      <c r="G1615" s="110">
        <v>61660.5</v>
      </c>
      <c r="I1615" s="110">
        <v>1335</v>
      </c>
      <c r="J1615" s="110">
        <v>3417</v>
      </c>
      <c r="K1615" s="110">
        <v>3910</v>
      </c>
      <c r="L1615" s="110">
        <v>7942.8</v>
      </c>
    </row>
    <row r="1616" spans="1:12" x14ac:dyDescent="0.2">
      <c r="A1616" t="s">
        <v>42</v>
      </c>
      <c r="B1616" t="s">
        <v>111</v>
      </c>
      <c r="C1616" t="s">
        <v>192</v>
      </c>
      <c r="D1616" s="110">
        <v>44693.5</v>
      </c>
      <c r="E1616" s="110">
        <v>44693.5</v>
      </c>
      <c r="F1616" s="110">
        <v>44693.5</v>
      </c>
      <c r="I1616" s="110">
        <v>1125.5</v>
      </c>
      <c r="J1616" s="110">
        <v>1944.5</v>
      </c>
      <c r="K1616" s="110">
        <v>4430.3</v>
      </c>
    </row>
    <row r="1617" spans="1:12" x14ac:dyDescent="0.2">
      <c r="A1617" t="s">
        <v>42</v>
      </c>
      <c r="B1617" t="s">
        <v>111</v>
      </c>
      <c r="C1617" t="s">
        <v>193</v>
      </c>
      <c r="D1617" s="110">
        <v>62885.5</v>
      </c>
      <c r="E1617" s="110">
        <v>63135</v>
      </c>
      <c r="I1617" s="110">
        <v>1820.5</v>
      </c>
      <c r="J1617" s="110">
        <v>3396</v>
      </c>
    </row>
    <row r="1618" spans="1:12" x14ac:dyDescent="0.2">
      <c r="A1618" t="s">
        <v>42</v>
      </c>
      <c r="B1618" t="s">
        <v>111</v>
      </c>
      <c r="C1618" t="s">
        <v>194</v>
      </c>
      <c r="D1618" s="110">
        <v>39486.5</v>
      </c>
      <c r="I1618" s="110">
        <v>2100</v>
      </c>
    </row>
    <row r="1619" spans="1:12" x14ac:dyDescent="0.2">
      <c r="A1619" t="s">
        <v>42</v>
      </c>
      <c r="B1619" t="s">
        <v>109</v>
      </c>
      <c r="C1619" t="s">
        <v>191</v>
      </c>
      <c r="D1619" s="110">
        <v>412856.85</v>
      </c>
      <c r="E1619" s="110">
        <v>412791.35</v>
      </c>
      <c r="F1619" s="110">
        <v>411331.55</v>
      </c>
      <c r="G1619" s="110">
        <v>408804.65</v>
      </c>
      <c r="I1619" s="110">
        <v>73362.759999999995</v>
      </c>
      <c r="J1619" s="110">
        <v>187227.23</v>
      </c>
      <c r="K1619" s="110">
        <v>218692.19</v>
      </c>
      <c r="L1619" s="110">
        <v>238558.33</v>
      </c>
    </row>
    <row r="1620" spans="1:12" x14ac:dyDescent="0.2">
      <c r="A1620" t="s">
        <v>42</v>
      </c>
      <c r="B1620" t="s">
        <v>109</v>
      </c>
      <c r="C1620" t="s">
        <v>192</v>
      </c>
      <c r="D1620" s="110">
        <v>421914.8</v>
      </c>
      <c r="E1620" s="110">
        <v>421138</v>
      </c>
      <c r="F1620" s="110">
        <v>419625</v>
      </c>
      <c r="I1620" s="110">
        <v>85824.68</v>
      </c>
      <c r="J1620" s="110">
        <v>164227.45000000001</v>
      </c>
      <c r="K1620" s="110">
        <v>213686.01</v>
      </c>
    </row>
    <row r="1621" spans="1:12" x14ac:dyDescent="0.2">
      <c r="A1621" t="s">
        <v>42</v>
      </c>
      <c r="B1621" t="s">
        <v>109</v>
      </c>
      <c r="C1621" t="s">
        <v>193</v>
      </c>
      <c r="D1621" s="110">
        <v>415213.31</v>
      </c>
      <c r="E1621" s="110">
        <v>413634.71</v>
      </c>
      <c r="I1621" s="110">
        <v>94055.28</v>
      </c>
      <c r="J1621" s="110">
        <v>169159.65</v>
      </c>
    </row>
    <row r="1622" spans="1:12" x14ac:dyDescent="0.2">
      <c r="A1622" t="s">
        <v>42</v>
      </c>
      <c r="B1622" t="s">
        <v>109</v>
      </c>
      <c r="C1622" t="s">
        <v>194</v>
      </c>
      <c r="D1622" s="110">
        <v>399980.67</v>
      </c>
      <c r="I1622" s="110">
        <v>84261.64</v>
      </c>
    </row>
    <row r="1623" spans="1:12" x14ac:dyDescent="0.2">
      <c r="A1623" t="s">
        <v>42</v>
      </c>
      <c r="B1623" t="s">
        <v>106</v>
      </c>
      <c r="C1623" t="s">
        <v>191</v>
      </c>
      <c r="D1623" s="110">
        <v>328342.95</v>
      </c>
      <c r="E1623" s="110">
        <v>328306.95</v>
      </c>
      <c r="F1623" s="110">
        <v>328306.95</v>
      </c>
      <c r="G1623" s="110">
        <v>328306.95</v>
      </c>
      <c r="I1623" s="110">
        <v>323808.95</v>
      </c>
      <c r="J1623" s="110">
        <v>325036.45</v>
      </c>
      <c r="K1623" s="110">
        <v>325036.45</v>
      </c>
      <c r="L1623" s="110">
        <v>325036.45</v>
      </c>
    </row>
    <row r="1624" spans="1:12" x14ac:dyDescent="0.2">
      <c r="A1624" t="s">
        <v>42</v>
      </c>
      <c r="B1624" t="s">
        <v>106</v>
      </c>
      <c r="C1624" t="s">
        <v>192</v>
      </c>
      <c r="D1624" s="110">
        <v>458142.93</v>
      </c>
      <c r="E1624" s="110">
        <v>458462.93</v>
      </c>
      <c r="F1624" s="110">
        <v>458462.93</v>
      </c>
      <c r="I1624" s="110">
        <v>438314.93</v>
      </c>
      <c r="J1624" s="110">
        <v>453720.93</v>
      </c>
      <c r="K1624" s="110">
        <v>453720.93</v>
      </c>
    </row>
    <row r="1625" spans="1:12" x14ac:dyDescent="0.2">
      <c r="A1625" t="s">
        <v>42</v>
      </c>
      <c r="B1625" t="s">
        <v>106</v>
      </c>
      <c r="C1625" t="s">
        <v>193</v>
      </c>
      <c r="D1625" s="110">
        <v>535427.80000000005</v>
      </c>
      <c r="E1625" s="110">
        <v>539247.80000000005</v>
      </c>
      <c r="I1625" s="110">
        <v>527230.75</v>
      </c>
      <c r="J1625" s="110">
        <v>533681.80000000005</v>
      </c>
    </row>
    <row r="1626" spans="1:12" x14ac:dyDescent="0.2">
      <c r="A1626" t="s">
        <v>42</v>
      </c>
      <c r="B1626" t="s">
        <v>106</v>
      </c>
      <c r="C1626" t="s">
        <v>194</v>
      </c>
      <c r="D1626" s="110">
        <v>554804.24</v>
      </c>
      <c r="I1626" s="110">
        <v>550197.74</v>
      </c>
    </row>
    <row r="1627" spans="1:12" x14ac:dyDescent="0.2">
      <c r="A1627" t="s">
        <v>42</v>
      </c>
      <c r="B1627" t="s">
        <v>107</v>
      </c>
      <c r="C1627" t="s">
        <v>191</v>
      </c>
      <c r="D1627" s="110">
        <v>370859.34</v>
      </c>
      <c r="E1627" s="110">
        <v>370859.34</v>
      </c>
      <c r="F1627" s="110">
        <v>369863.34</v>
      </c>
      <c r="G1627" s="110">
        <v>369863.34</v>
      </c>
      <c r="I1627" s="110">
        <v>365362.34</v>
      </c>
      <c r="J1627" s="110">
        <v>369797.34</v>
      </c>
      <c r="K1627" s="110">
        <v>369797.34</v>
      </c>
      <c r="L1627" s="110">
        <v>369797.34</v>
      </c>
    </row>
    <row r="1628" spans="1:12" x14ac:dyDescent="0.2">
      <c r="A1628" t="s">
        <v>42</v>
      </c>
      <c r="B1628" t="s">
        <v>107</v>
      </c>
      <c r="C1628" t="s">
        <v>192</v>
      </c>
      <c r="D1628" s="110">
        <v>369737.75</v>
      </c>
      <c r="E1628" s="110">
        <v>369437.75</v>
      </c>
      <c r="F1628" s="110">
        <v>369437.75</v>
      </c>
      <c r="I1628" s="110">
        <v>357779.75</v>
      </c>
      <c r="J1628" s="110">
        <v>368384.75</v>
      </c>
      <c r="K1628" s="110">
        <v>369384.75</v>
      </c>
    </row>
    <row r="1629" spans="1:12" x14ac:dyDescent="0.2">
      <c r="A1629" t="s">
        <v>42</v>
      </c>
      <c r="B1629" t="s">
        <v>107</v>
      </c>
      <c r="C1629" t="s">
        <v>193</v>
      </c>
      <c r="D1629" s="110">
        <v>374424.24</v>
      </c>
      <c r="E1629" s="110">
        <v>374410.74</v>
      </c>
      <c r="I1629" s="110">
        <v>373654.09</v>
      </c>
      <c r="J1629" s="110">
        <v>374410.59</v>
      </c>
    </row>
    <row r="1630" spans="1:12" x14ac:dyDescent="0.2">
      <c r="A1630" t="s">
        <v>42</v>
      </c>
      <c r="B1630" t="s">
        <v>107</v>
      </c>
      <c r="C1630" t="s">
        <v>194</v>
      </c>
      <c r="D1630" s="110">
        <v>510895.75</v>
      </c>
      <c r="I1630" s="110">
        <v>506410.75</v>
      </c>
    </row>
    <row r="1631" spans="1:12" x14ac:dyDescent="0.2">
      <c r="A1631" t="s">
        <v>42</v>
      </c>
      <c r="B1631" t="s">
        <v>108</v>
      </c>
      <c r="C1631" t="s">
        <v>191</v>
      </c>
      <c r="D1631" s="110">
        <v>143997.68</v>
      </c>
      <c r="E1631" s="110">
        <v>144052.68</v>
      </c>
      <c r="F1631" s="110">
        <v>144052.68</v>
      </c>
      <c r="G1631" s="110">
        <v>143021.68</v>
      </c>
      <c r="I1631" s="110">
        <v>138396.18</v>
      </c>
      <c r="J1631" s="110">
        <v>139768.18</v>
      </c>
      <c r="K1631" s="110">
        <v>139768.18</v>
      </c>
      <c r="L1631" s="110">
        <v>140399.18</v>
      </c>
    </row>
    <row r="1632" spans="1:12" x14ac:dyDescent="0.2">
      <c r="A1632" t="s">
        <v>42</v>
      </c>
      <c r="B1632" t="s">
        <v>108</v>
      </c>
      <c r="C1632" t="s">
        <v>192</v>
      </c>
      <c r="D1632" s="110">
        <v>157662.9</v>
      </c>
      <c r="E1632" s="110">
        <v>158293.9</v>
      </c>
      <c r="F1632" s="110">
        <v>157493.9</v>
      </c>
      <c r="I1632" s="110">
        <v>150229.9</v>
      </c>
      <c r="J1632" s="110">
        <v>153391.9</v>
      </c>
      <c r="K1632" s="110">
        <v>152991.9</v>
      </c>
    </row>
    <row r="1633" spans="1:12" x14ac:dyDescent="0.2">
      <c r="A1633" t="s">
        <v>42</v>
      </c>
      <c r="B1633" t="s">
        <v>108</v>
      </c>
      <c r="C1633" t="s">
        <v>193</v>
      </c>
      <c r="D1633" s="110">
        <v>156446.95000000001</v>
      </c>
      <c r="E1633" s="110">
        <v>156410.95000000001</v>
      </c>
      <c r="I1633" s="110">
        <v>152206.95000000001</v>
      </c>
      <c r="J1633" s="110">
        <v>154101.95000000001</v>
      </c>
    </row>
    <row r="1634" spans="1:12" x14ac:dyDescent="0.2">
      <c r="A1634" t="s">
        <v>42</v>
      </c>
      <c r="B1634" t="s">
        <v>108</v>
      </c>
      <c r="C1634" t="s">
        <v>194</v>
      </c>
      <c r="D1634" s="110">
        <v>906812.5</v>
      </c>
      <c r="I1634" s="110">
        <v>474111.47</v>
      </c>
    </row>
    <row r="1635" spans="1:12" x14ac:dyDescent="0.2">
      <c r="A1635" t="s">
        <v>42</v>
      </c>
      <c r="B1635" t="s">
        <v>70</v>
      </c>
      <c r="C1635" t="s">
        <v>191</v>
      </c>
      <c r="D1635" s="110">
        <v>176549.35</v>
      </c>
      <c r="E1635" s="110">
        <v>173817.60000000001</v>
      </c>
      <c r="F1635" s="110">
        <v>173472.6</v>
      </c>
      <c r="G1635" s="110">
        <v>171890.6</v>
      </c>
      <c r="I1635" s="110">
        <v>152663.14000000001</v>
      </c>
      <c r="J1635" s="110">
        <v>159643.29</v>
      </c>
      <c r="K1635" s="110">
        <v>160419.29</v>
      </c>
      <c r="L1635" s="110">
        <v>160574.51999999999</v>
      </c>
    </row>
    <row r="1636" spans="1:12" x14ac:dyDescent="0.2">
      <c r="A1636" t="s">
        <v>42</v>
      </c>
      <c r="B1636" t="s">
        <v>70</v>
      </c>
      <c r="C1636" t="s">
        <v>192</v>
      </c>
      <c r="D1636" s="110">
        <v>181086.39</v>
      </c>
      <c r="E1636" s="110">
        <v>179552.39</v>
      </c>
      <c r="F1636" s="110">
        <v>179036.39</v>
      </c>
      <c r="I1636" s="110">
        <v>165152.6</v>
      </c>
      <c r="J1636" s="110">
        <v>169621.25</v>
      </c>
      <c r="K1636" s="110">
        <v>170399.25</v>
      </c>
    </row>
    <row r="1637" spans="1:12" x14ac:dyDescent="0.2">
      <c r="A1637" t="s">
        <v>42</v>
      </c>
      <c r="B1637" t="s">
        <v>70</v>
      </c>
      <c r="C1637" t="s">
        <v>193</v>
      </c>
      <c r="D1637" s="110">
        <v>191408.15</v>
      </c>
      <c r="E1637" s="110">
        <v>189635.15</v>
      </c>
      <c r="I1637" s="110">
        <v>176261.95</v>
      </c>
      <c r="J1637" s="110">
        <v>181255.29</v>
      </c>
    </row>
    <row r="1638" spans="1:12" x14ac:dyDescent="0.2">
      <c r="A1638" t="s">
        <v>42</v>
      </c>
      <c r="B1638" t="s">
        <v>70</v>
      </c>
      <c r="C1638" t="s">
        <v>194</v>
      </c>
      <c r="D1638" s="110">
        <v>148070.29</v>
      </c>
      <c r="I1638" s="110">
        <v>141205.29</v>
      </c>
    </row>
    <row r="1639" spans="1:12" x14ac:dyDescent="0.2">
      <c r="A1639" t="s">
        <v>42</v>
      </c>
      <c r="B1639" t="s">
        <v>110</v>
      </c>
      <c r="C1639" t="s">
        <v>191</v>
      </c>
      <c r="D1639" s="110">
        <v>1067391.5</v>
      </c>
      <c r="E1639" s="110">
        <v>985142</v>
      </c>
      <c r="F1639" s="110">
        <v>974869</v>
      </c>
      <c r="G1639" s="110">
        <v>974476</v>
      </c>
      <c r="I1639" s="110">
        <v>512163.43</v>
      </c>
      <c r="J1639" s="110">
        <v>790746.12</v>
      </c>
      <c r="K1639" s="110">
        <v>850263.28</v>
      </c>
      <c r="L1639" s="110">
        <v>869548.13</v>
      </c>
    </row>
    <row r="1640" spans="1:12" x14ac:dyDescent="0.2">
      <c r="A1640" t="s">
        <v>42</v>
      </c>
      <c r="B1640" t="s">
        <v>110</v>
      </c>
      <c r="C1640" t="s">
        <v>192</v>
      </c>
      <c r="D1640" s="110">
        <v>979387.5</v>
      </c>
      <c r="E1640" s="110">
        <v>957723</v>
      </c>
      <c r="F1640" s="110">
        <v>958227.44</v>
      </c>
      <c r="I1640" s="110">
        <v>549146.87</v>
      </c>
      <c r="J1640" s="110">
        <v>802767.56</v>
      </c>
      <c r="K1640" s="110">
        <v>834708.85</v>
      </c>
    </row>
    <row r="1641" spans="1:12" x14ac:dyDescent="0.2">
      <c r="A1641" t="s">
        <v>42</v>
      </c>
      <c r="B1641" t="s">
        <v>110</v>
      </c>
      <c r="C1641" t="s">
        <v>193</v>
      </c>
      <c r="D1641" s="110">
        <v>967086.25</v>
      </c>
      <c r="E1641" s="110">
        <v>953727.25</v>
      </c>
      <c r="I1641" s="110">
        <v>487174.33</v>
      </c>
      <c r="J1641" s="110">
        <v>782556.99</v>
      </c>
    </row>
    <row r="1642" spans="1:12" x14ac:dyDescent="0.2">
      <c r="A1642" t="s">
        <v>42</v>
      </c>
      <c r="B1642" t="s">
        <v>110</v>
      </c>
      <c r="C1642" t="s">
        <v>194</v>
      </c>
      <c r="D1642" s="110">
        <v>189813.02</v>
      </c>
      <c r="I1642" s="110">
        <v>169867.97</v>
      </c>
    </row>
    <row r="1643" spans="1:12" x14ac:dyDescent="0.2">
      <c r="A1643" t="s">
        <v>43</v>
      </c>
      <c r="B1643" t="s">
        <v>104</v>
      </c>
      <c r="C1643" t="s">
        <v>191</v>
      </c>
      <c r="D1643" s="110">
        <v>252395.14</v>
      </c>
      <c r="E1643" s="110">
        <v>250026.14</v>
      </c>
      <c r="F1643" s="110">
        <v>248976.14</v>
      </c>
      <c r="G1643" s="110">
        <v>247926.14</v>
      </c>
      <c r="I1643" s="110">
        <v>7774.12</v>
      </c>
      <c r="J1643" s="110">
        <v>17158.12</v>
      </c>
      <c r="K1643" s="110">
        <v>28421.55</v>
      </c>
      <c r="L1643" s="110">
        <v>36200.31</v>
      </c>
    </row>
    <row r="1644" spans="1:12" x14ac:dyDescent="0.2">
      <c r="A1644" t="s">
        <v>43</v>
      </c>
      <c r="B1644" t="s">
        <v>104</v>
      </c>
      <c r="C1644" t="s">
        <v>192</v>
      </c>
      <c r="D1644" s="110">
        <v>621415.64</v>
      </c>
      <c r="E1644" s="110">
        <v>618840.64</v>
      </c>
      <c r="F1644" s="110">
        <v>617840.64000000001</v>
      </c>
      <c r="I1644" s="110">
        <v>10958.34</v>
      </c>
      <c r="J1644" s="110">
        <v>26087.03</v>
      </c>
      <c r="K1644" s="110">
        <v>34589.360000000001</v>
      </c>
    </row>
    <row r="1645" spans="1:12" x14ac:dyDescent="0.2">
      <c r="A1645" t="s">
        <v>43</v>
      </c>
      <c r="B1645" t="s">
        <v>104</v>
      </c>
      <c r="C1645" t="s">
        <v>193</v>
      </c>
      <c r="D1645" s="110">
        <v>248730.75</v>
      </c>
      <c r="E1645" s="110">
        <v>243670.75</v>
      </c>
      <c r="I1645" s="110">
        <v>12774.53</v>
      </c>
      <c r="J1645" s="110">
        <v>25031.66</v>
      </c>
    </row>
    <row r="1646" spans="1:12" x14ac:dyDescent="0.2">
      <c r="A1646" t="s">
        <v>43</v>
      </c>
      <c r="B1646" t="s">
        <v>104</v>
      </c>
      <c r="C1646" t="s">
        <v>194</v>
      </c>
      <c r="D1646" s="110">
        <v>270496.34999999998</v>
      </c>
      <c r="I1646" s="110">
        <v>11770.5</v>
      </c>
    </row>
    <row r="1647" spans="1:12" x14ac:dyDescent="0.2">
      <c r="A1647" t="s">
        <v>43</v>
      </c>
      <c r="B1647" t="s">
        <v>140</v>
      </c>
      <c r="C1647" t="s">
        <v>191</v>
      </c>
    </row>
    <row r="1648" spans="1:12" x14ac:dyDescent="0.2">
      <c r="A1648" t="s">
        <v>43</v>
      </c>
      <c r="B1648" t="s">
        <v>140</v>
      </c>
      <c r="C1648" t="s">
        <v>192</v>
      </c>
      <c r="D1648" s="110">
        <v>368580</v>
      </c>
      <c r="E1648" s="110">
        <v>368580</v>
      </c>
      <c r="F1648" s="110">
        <v>368580</v>
      </c>
    </row>
    <row r="1649" spans="1:12" x14ac:dyDescent="0.2">
      <c r="A1649" t="s">
        <v>43</v>
      </c>
      <c r="B1649" t="s">
        <v>140</v>
      </c>
      <c r="C1649" t="s">
        <v>193</v>
      </c>
    </row>
    <row r="1650" spans="1:12" x14ac:dyDescent="0.2">
      <c r="A1650" t="s">
        <v>43</v>
      </c>
      <c r="B1650" t="s">
        <v>140</v>
      </c>
      <c r="C1650" t="s">
        <v>194</v>
      </c>
      <c r="D1650" s="110">
        <v>54890</v>
      </c>
    </row>
    <row r="1651" spans="1:12" x14ac:dyDescent="0.2">
      <c r="A1651" t="s">
        <v>43</v>
      </c>
      <c r="B1651" t="s">
        <v>105</v>
      </c>
      <c r="C1651" t="s">
        <v>191</v>
      </c>
      <c r="D1651" s="110">
        <v>235630.5</v>
      </c>
      <c r="E1651" s="110">
        <v>232627</v>
      </c>
      <c r="F1651" s="110">
        <v>231942</v>
      </c>
      <c r="G1651" s="110">
        <v>231742</v>
      </c>
      <c r="I1651" s="110">
        <v>74367.25</v>
      </c>
      <c r="J1651" s="110">
        <v>111491.17</v>
      </c>
      <c r="K1651" s="110">
        <v>135251.67000000001</v>
      </c>
      <c r="L1651" s="110">
        <v>147784.5</v>
      </c>
    </row>
    <row r="1652" spans="1:12" x14ac:dyDescent="0.2">
      <c r="A1652" t="s">
        <v>43</v>
      </c>
      <c r="B1652" t="s">
        <v>105</v>
      </c>
      <c r="C1652" t="s">
        <v>192</v>
      </c>
      <c r="D1652" s="110">
        <v>280399.25</v>
      </c>
      <c r="E1652" s="110">
        <v>276990.25</v>
      </c>
      <c r="F1652" s="110">
        <v>275390.25</v>
      </c>
      <c r="I1652" s="110">
        <v>102228.09</v>
      </c>
      <c r="J1652" s="110">
        <v>146408.46</v>
      </c>
      <c r="K1652" s="110">
        <v>162809.46</v>
      </c>
    </row>
    <row r="1653" spans="1:12" x14ac:dyDescent="0.2">
      <c r="A1653" t="s">
        <v>43</v>
      </c>
      <c r="B1653" t="s">
        <v>105</v>
      </c>
      <c r="C1653" t="s">
        <v>193</v>
      </c>
      <c r="D1653" s="110">
        <v>259684.77</v>
      </c>
      <c r="E1653" s="110">
        <v>257334.77</v>
      </c>
      <c r="I1653" s="110">
        <v>93024.77</v>
      </c>
      <c r="J1653" s="110">
        <v>126193.52</v>
      </c>
    </row>
    <row r="1654" spans="1:12" x14ac:dyDescent="0.2">
      <c r="A1654" t="s">
        <v>43</v>
      </c>
      <c r="B1654" t="s">
        <v>105</v>
      </c>
      <c r="C1654" t="s">
        <v>194</v>
      </c>
      <c r="D1654" s="110">
        <v>251671.95</v>
      </c>
      <c r="I1654" s="110">
        <v>74771</v>
      </c>
    </row>
    <row r="1655" spans="1:12" x14ac:dyDescent="0.2">
      <c r="A1655" t="s">
        <v>43</v>
      </c>
      <c r="B1655" t="s">
        <v>111</v>
      </c>
      <c r="C1655" t="s">
        <v>191</v>
      </c>
      <c r="D1655" s="110">
        <v>9992</v>
      </c>
      <c r="E1655" s="110">
        <v>9992</v>
      </c>
      <c r="F1655" s="110">
        <v>9992</v>
      </c>
      <c r="G1655" s="110">
        <v>9992</v>
      </c>
      <c r="I1655" s="110">
        <v>392</v>
      </c>
      <c r="J1655" s="110">
        <v>852</v>
      </c>
      <c r="K1655" s="110">
        <v>1372</v>
      </c>
      <c r="L1655" s="110">
        <v>2107</v>
      </c>
    </row>
    <row r="1656" spans="1:12" x14ac:dyDescent="0.2">
      <c r="A1656" t="s">
        <v>43</v>
      </c>
      <c r="B1656" t="s">
        <v>111</v>
      </c>
      <c r="C1656" t="s">
        <v>192</v>
      </c>
      <c r="D1656" s="110">
        <v>9277</v>
      </c>
      <c r="E1656" s="110">
        <v>9277</v>
      </c>
      <c r="F1656" s="110">
        <v>9277</v>
      </c>
      <c r="I1656" s="110">
        <v>842</v>
      </c>
      <c r="J1656" s="110">
        <v>1202</v>
      </c>
      <c r="K1656" s="110">
        <v>1227</v>
      </c>
    </row>
    <row r="1657" spans="1:12" x14ac:dyDescent="0.2">
      <c r="A1657" t="s">
        <v>43</v>
      </c>
      <c r="B1657" t="s">
        <v>111</v>
      </c>
      <c r="C1657" t="s">
        <v>193</v>
      </c>
      <c r="D1657" s="110">
        <v>8455</v>
      </c>
      <c r="E1657" s="110">
        <v>8455</v>
      </c>
      <c r="I1657" s="110">
        <v>950</v>
      </c>
      <c r="J1657" s="110">
        <v>1500</v>
      </c>
    </row>
    <row r="1658" spans="1:12" x14ac:dyDescent="0.2">
      <c r="A1658" t="s">
        <v>43</v>
      </c>
      <c r="B1658" t="s">
        <v>111</v>
      </c>
      <c r="C1658" t="s">
        <v>194</v>
      </c>
      <c r="D1658" s="110">
        <v>12183.6</v>
      </c>
      <c r="I1658" s="110">
        <v>933</v>
      </c>
    </row>
    <row r="1659" spans="1:12" x14ac:dyDescent="0.2">
      <c r="A1659" t="s">
        <v>43</v>
      </c>
      <c r="B1659" t="s">
        <v>109</v>
      </c>
      <c r="C1659" t="s">
        <v>191</v>
      </c>
      <c r="D1659" s="110">
        <v>245730</v>
      </c>
      <c r="E1659" s="110">
        <v>242665</v>
      </c>
      <c r="F1659" s="110">
        <v>242065</v>
      </c>
      <c r="G1659" s="110">
        <v>239390.75</v>
      </c>
      <c r="I1659" s="110">
        <v>83413.279999999999</v>
      </c>
      <c r="J1659" s="110">
        <v>118876.02</v>
      </c>
      <c r="K1659" s="110">
        <v>139748.34</v>
      </c>
      <c r="L1659" s="110">
        <v>164723.24</v>
      </c>
    </row>
    <row r="1660" spans="1:12" x14ac:dyDescent="0.2">
      <c r="A1660" t="s">
        <v>43</v>
      </c>
      <c r="B1660" t="s">
        <v>109</v>
      </c>
      <c r="C1660" t="s">
        <v>192</v>
      </c>
      <c r="D1660" s="110">
        <v>307674.07</v>
      </c>
      <c r="E1660" s="110">
        <v>310589.07</v>
      </c>
      <c r="F1660" s="110">
        <v>308658.07</v>
      </c>
      <c r="I1660" s="110">
        <v>114303.57</v>
      </c>
      <c r="J1660" s="110">
        <v>152365.57</v>
      </c>
      <c r="K1660" s="110">
        <v>184042.77</v>
      </c>
    </row>
    <row r="1661" spans="1:12" x14ac:dyDescent="0.2">
      <c r="A1661" t="s">
        <v>43</v>
      </c>
      <c r="B1661" t="s">
        <v>109</v>
      </c>
      <c r="C1661" t="s">
        <v>193</v>
      </c>
      <c r="D1661" s="110">
        <v>317579.25</v>
      </c>
      <c r="E1661" s="110">
        <v>317614.25</v>
      </c>
      <c r="I1661" s="110">
        <v>107356.25</v>
      </c>
      <c r="J1661" s="110">
        <v>146398.25</v>
      </c>
    </row>
    <row r="1662" spans="1:12" x14ac:dyDescent="0.2">
      <c r="A1662" t="s">
        <v>43</v>
      </c>
      <c r="B1662" t="s">
        <v>109</v>
      </c>
      <c r="C1662" t="s">
        <v>194</v>
      </c>
      <c r="D1662" s="110">
        <v>300488.25</v>
      </c>
      <c r="I1662" s="110">
        <v>90925.75</v>
      </c>
    </row>
    <row r="1663" spans="1:12" x14ac:dyDescent="0.2">
      <c r="A1663" t="s">
        <v>43</v>
      </c>
      <c r="B1663" t="s">
        <v>106</v>
      </c>
      <c r="C1663" t="s">
        <v>191</v>
      </c>
      <c r="D1663" s="110">
        <v>164228.42000000001</v>
      </c>
      <c r="E1663" s="110">
        <v>160841.92000000001</v>
      </c>
      <c r="F1663" s="110">
        <v>160841.92000000001</v>
      </c>
      <c r="G1663" s="110">
        <v>160841.92000000001</v>
      </c>
      <c r="I1663" s="110">
        <v>156938.42000000001</v>
      </c>
      <c r="J1663" s="110">
        <v>159541.92000000001</v>
      </c>
      <c r="K1663" s="110">
        <v>159591.92000000001</v>
      </c>
      <c r="L1663" s="110">
        <v>159591.92000000001</v>
      </c>
    </row>
    <row r="1664" spans="1:12" x14ac:dyDescent="0.2">
      <c r="A1664" t="s">
        <v>43</v>
      </c>
      <c r="B1664" t="s">
        <v>106</v>
      </c>
      <c r="C1664" t="s">
        <v>192</v>
      </c>
      <c r="D1664" s="110">
        <v>199937.17</v>
      </c>
      <c r="E1664" s="110">
        <v>199037.17</v>
      </c>
      <c r="F1664" s="110">
        <v>198237.17</v>
      </c>
      <c r="I1664" s="110">
        <v>191422.67</v>
      </c>
      <c r="J1664" s="110">
        <v>196049.67</v>
      </c>
      <c r="K1664" s="110">
        <v>196057.17</v>
      </c>
    </row>
    <row r="1665" spans="1:12" x14ac:dyDescent="0.2">
      <c r="A1665" t="s">
        <v>43</v>
      </c>
      <c r="B1665" t="s">
        <v>106</v>
      </c>
      <c r="C1665" t="s">
        <v>193</v>
      </c>
      <c r="D1665" s="110">
        <v>197433.5</v>
      </c>
      <c r="E1665" s="110">
        <v>196183.5</v>
      </c>
      <c r="I1665" s="110">
        <v>193580.5</v>
      </c>
      <c r="J1665" s="110">
        <v>195383.5</v>
      </c>
    </row>
    <row r="1666" spans="1:12" x14ac:dyDescent="0.2">
      <c r="A1666" t="s">
        <v>43</v>
      </c>
      <c r="B1666" t="s">
        <v>106</v>
      </c>
      <c r="C1666" t="s">
        <v>194</v>
      </c>
      <c r="D1666" s="110">
        <v>183584.26</v>
      </c>
      <c r="I1666" s="110">
        <v>180599.26</v>
      </c>
    </row>
    <row r="1667" spans="1:12" x14ac:dyDescent="0.2">
      <c r="A1667" t="s">
        <v>43</v>
      </c>
      <c r="B1667" t="s">
        <v>107</v>
      </c>
      <c r="C1667" t="s">
        <v>191</v>
      </c>
      <c r="D1667" s="110">
        <v>122016.93</v>
      </c>
      <c r="E1667" s="110">
        <v>122016.93</v>
      </c>
      <c r="F1667" s="110">
        <v>122016.93</v>
      </c>
      <c r="G1667" s="110">
        <v>122016.93</v>
      </c>
      <c r="I1667" s="110">
        <v>120456.93</v>
      </c>
      <c r="J1667" s="110">
        <v>121791.93</v>
      </c>
      <c r="K1667" s="110">
        <v>121791.93</v>
      </c>
      <c r="L1667" s="110">
        <v>121791.93</v>
      </c>
    </row>
    <row r="1668" spans="1:12" x14ac:dyDescent="0.2">
      <c r="A1668" t="s">
        <v>43</v>
      </c>
      <c r="B1668" t="s">
        <v>107</v>
      </c>
      <c r="C1668" t="s">
        <v>192</v>
      </c>
      <c r="D1668" s="110">
        <v>110934.96</v>
      </c>
      <c r="E1668" s="110">
        <v>110372.96</v>
      </c>
      <c r="F1668" s="110">
        <v>110372.96</v>
      </c>
      <c r="I1668" s="110">
        <v>105872.96000000001</v>
      </c>
      <c r="J1668" s="110">
        <v>110372.96</v>
      </c>
      <c r="K1668" s="110">
        <v>110372.96</v>
      </c>
    </row>
    <row r="1669" spans="1:12" x14ac:dyDescent="0.2">
      <c r="A1669" t="s">
        <v>43</v>
      </c>
      <c r="B1669" t="s">
        <v>107</v>
      </c>
      <c r="C1669" t="s">
        <v>193</v>
      </c>
      <c r="D1669" s="110">
        <v>121316.29</v>
      </c>
      <c r="E1669" s="110">
        <v>121012.69</v>
      </c>
      <c r="I1669" s="110">
        <v>119981.69</v>
      </c>
      <c r="J1669" s="110">
        <v>120361.69</v>
      </c>
    </row>
    <row r="1670" spans="1:12" x14ac:dyDescent="0.2">
      <c r="A1670" t="s">
        <v>43</v>
      </c>
      <c r="B1670" t="s">
        <v>107</v>
      </c>
      <c r="C1670" t="s">
        <v>194</v>
      </c>
      <c r="D1670" s="110">
        <v>142693.62</v>
      </c>
      <c r="I1670" s="110">
        <v>141323.62</v>
      </c>
    </row>
    <row r="1671" spans="1:12" x14ac:dyDescent="0.2">
      <c r="A1671" t="s">
        <v>43</v>
      </c>
      <c r="B1671" t="s">
        <v>108</v>
      </c>
      <c r="C1671" t="s">
        <v>191</v>
      </c>
      <c r="D1671" s="110">
        <v>74850.899999999994</v>
      </c>
      <c r="E1671" s="110">
        <v>74850.899999999994</v>
      </c>
      <c r="F1671" s="110">
        <v>74859.899999999994</v>
      </c>
      <c r="G1671" s="110">
        <v>74859.899999999994</v>
      </c>
      <c r="I1671" s="110">
        <v>74765.899999999994</v>
      </c>
      <c r="J1671" s="110">
        <v>74850.899999999994</v>
      </c>
      <c r="K1671" s="110">
        <v>74859.899999999994</v>
      </c>
      <c r="L1671" s="110">
        <v>74859.899999999994</v>
      </c>
    </row>
    <row r="1672" spans="1:12" x14ac:dyDescent="0.2">
      <c r="A1672" t="s">
        <v>43</v>
      </c>
      <c r="B1672" t="s">
        <v>108</v>
      </c>
      <c r="C1672" t="s">
        <v>192</v>
      </c>
      <c r="D1672" s="110">
        <v>90152.33</v>
      </c>
      <c r="E1672" s="110">
        <v>90148.33</v>
      </c>
      <c r="F1672" s="110">
        <v>90147.33</v>
      </c>
      <c r="I1672" s="110">
        <v>88965.33</v>
      </c>
      <c r="J1672" s="110">
        <v>90096.33</v>
      </c>
      <c r="K1672" s="110">
        <v>90096.33</v>
      </c>
    </row>
    <row r="1673" spans="1:12" x14ac:dyDescent="0.2">
      <c r="A1673" t="s">
        <v>43</v>
      </c>
      <c r="B1673" t="s">
        <v>108</v>
      </c>
      <c r="C1673" t="s">
        <v>193</v>
      </c>
      <c r="D1673" s="110">
        <v>82111.3</v>
      </c>
      <c r="E1673" s="110">
        <v>82104.3</v>
      </c>
      <c r="I1673" s="110">
        <v>81757.3</v>
      </c>
      <c r="J1673" s="110">
        <v>82102.3</v>
      </c>
    </row>
    <row r="1674" spans="1:12" x14ac:dyDescent="0.2">
      <c r="A1674" t="s">
        <v>43</v>
      </c>
      <c r="B1674" t="s">
        <v>108</v>
      </c>
      <c r="C1674" t="s">
        <v>194</v>
      </c>
      <c r="D1674" s="110">
        <v>75531.100000000006</v>
      </c>
      <c r="I1674" s="110">
        <v>75292.100000000006</v>
      </c>
    </row>
    <row r="1675" spans="1:12" x14ac:dyDescent="0.2">
      <c r="A1675" t="s">
        <v>43</v>
      </c>
      <c r="B1675" t="s">
        <v>70</v>
      </c>
      <c r="C1675" t="s">
        <v>191</v>
      </c>
      <c r="D1675" s="110">
        <v>86293.85</v>
      </c>
      <c r="E1675" s="110">
        <v>85885.85</v>
      </c>
      <c r="F1675" s="110">
        <v>85585.85</v>
      </c>
      <c r="G1675" s="110">
        <v>85285.85</v>
      </c>
      <c r="I1675" s="110">
        <v>82057.850000000006</v>
      </c>
      <c r="J1675" s="110">
        <v>82705.850000000006</v>
      </c>
      <c r="K1675" s="110">
        <v>82885.850000000006</v>
      </c>
      <c r="L1675" s="110">
        <v>82885.850000000006</v>
      </c>
    </row>
    <row r="1676" spans="1:12" x14ac:dyDescent="0.2">
      <c r="A1676" t="s">
        <v>43</v>
      </c>
      <c r="B1676" t="s">
        <v>70</v>
      </c>
      <c r="C1676" t="s">
        <v>192</v>
      </c>
      <c r="D1676" s="110">
        <v>95566.45</v>
      </c>
      <c r="E1676" s="110">
        <v>95567.95</v>
      </c>
      <c r="F1676" s="110">
        <v>95508.15</v>
      </c>
      <c r="I1676" s="110">
        <v>91480.65</v>
      </c>
      <c r="J1676" s="110">
        <v>93787.15</v>
      </c>
      <c r="K1676" s="110">
        <v>93967.15</v>
      </c>
    </row>
    <row r="1677" spans="1:12" x14ac:dyDescent="0.2">
      <c r="A1677" t="s">
        <v>43</v>
      </c>
      <c r="B1677" t="s">
        <v>70</v>
      </c>
      <c r="C1677" t="s">
        <v>193</v>
      </c>
      <c r="D1677" s="110">
        <v>101844.5</v>
      </c>
      <c r="E1677" s="110">
        <v>101469.5</v>
      </c>
      <c r="I1677" s="110">
        <v>99525.5</v>
      </c>
      <c r="J1677" s="110">
        <v>100053.8</v>
      </c>
    </row>
    <row r="1678" spans="1:12" x14ac:dyDescent="0.2">
      <c r="A1678" t="s">
        <v>43</v>
      </c>
      <c r="B1678" t="s">
        <v>70</v>
      </c>
      <c r="C1678" t="s">
        <v>194</v>
      </c>
      <c r="D1678" s="110">
        <v>80046.149999999994</v>
      </c>
      <c r="I1678" s="110">
        <v>78406.649999999994</v>
      </c>
    </row>
    <row r="1679" spans="1:12" x14ac:dyDescent="0.2">
      <c r="A1679" t="s">
        <v>43</v>
      </c>
      <c r="B1679" t="s">
        <v>110</v>
      </c>
      <c r="C1679" t="s">
        <v>191</v>
      </c>
      <c r="D1679" s="110">
        <v>493041.6</v>
      </c>
      <c r="E1679" s="110">
        <v>468093.4</v>
      </c>
      <c r="F1679" s="110">
        <v>467138.4</v>
      </c>
      <c r="G1679" s="110">
        <v>467970.4</v>
      </c>
      <c r="I1679" s="110">
        <v>208605.95</v>
      </c>
      <c r="J1679" s="110">
        <v>391829.65</v>
      </c>
      <c r="K1679" s="110">
        <v>419733.65</v>
      </c>
      <c r="L1679" s="110">
        <v>426022.40000000002</v>
      </c>
    </row>
    <row r="1680" spans="1:12" x14ac:dyDescent="0.2">
      <c r="A1680" t="s">
        <v>43</v>
      </c>
      <c r="B1680" t="s">
        <v>110</v>
      </c>
      <c r="C1680" t="s">
        <v>192</v>
      </c>
      <c r="D1680" s="110">
        <v>666502.80000000005</v>
      </c>
      <c r="E1680" s="110">
        <v>635115.35</v>
      </c>
      <c r="F1680" s="110">
        <v>635417.35</v>
      </c>
      <c r="I1680" s="110">
        <v>296211.8</v>
      </c>
      <c r="J1680" s="110">
        <v>546929.85</v>
      </c>
      <c r="K1680" s="110">
        <v>585095.85</v>
      </c>
    </row>
    <row r="1681" spans="1:12" x14ac:dyDescent="0.2">
      <c r="A1681" t="s">
        <v>43</v>
      </c>
      <c r="B1681" t="s">
        <v>110</v>
      </c>
      <c r="C1681" t="s">
        <v>193</v>
      </c>
      <c r="D1681" s="110">
        <v>659373.6</v>
      </c>
      <c r="E1681" s="110">
        <v>631623.30000000005</v>
      </c>
      <c r="I1681" s="110">
        <v>300251.93</v>
      </c>
      <c r="J1681" s="110">
        <v>538850.80000000005</v>
      </c>
    </row>
    <row r="1682" spans="1:12" x14ac:dyDescent="0.2">
      <c r="A1682" t="s">
        <v>43</v>
      </c>
      <c r="B1682" t="s">
        <v>110</v>
      </c>
      <c r="C1682" t="s">
        <v>194</v>
      </c>
      <c r="D1682" s="110">
        <v>665980.80000000005</v>
      </c>
      <c r="I1682" s="110">
        <v>278462.55</v>
      </c>
    </row>
    <row r="1683" spans="1:12" x14ac:dyDescent="0.2">
      <c r="A1683" t="s">
        <v>76</v>
      </c>
      <c r="B1683" t="s">
        <v>104</v>
      </c>
      <c r="C1683" t="s">
        <v>191</v>
      </c>
      <c r="D1683" s="110">
        <v>2096902</v>
      </c>
      <c r="E1683" s="110">
        <v>2096902</v>
      </c>
      <c r="F1683" s="110">
        <v>2096902</v>
      </c>
      <c r="G1683" s="110">
        <v>2096902</v>
      </c>
      <c r="I1683" s="110">
        <v>79054</v>
      </c>
      <c r="J1683" s="110">
        <v>132593</v>
      </c>
      <c r="K1683" s="110">
        <v>174263</v>
      </c>
      <c r="L1683" s="110">
        <v>209025</v>
      </c>
    </row>
    <row r="1684" spans="1:12" x14ac:dyDescent="0.2">
      <c r="A1684" t="s">
        <v>76</v>
      </c>
      <c r="B1684" t="s">
        <v>104</v>
      </c>
      <c r="C1684" t="s">
        <v>192</v>
      </c>
      <c r="D1684" s="110">
        <v>2251331</v>
      </c>
      <c r="E1684" s="110">
        <v>2251331</v>
      </c>
      <c r="F1684" s="110">
        <v>2251331</v>
      </c>
      <c r="I1684" s="110">
        <v>83367</v>
      </c>
      <c r="J1684" s="110">
        <v>129485</v>
      </c>
      <c r="K1684" s="110">
        <v>162441</v>
      </c>
    </row>
    <row r="1685" spans="1:12" x14ac:dyDescent="0.2">
      <c r="A1685" t="s">
        <v>76</v>
      </c>
      <c r="B1685" t="s">
        <v>104</v>
      </c>
      <c r="C1685" t="s">
        <v>193</v>
      </c>
      <c r="D1685" s="110">
        <v>2303788</v>
      </c>
      <c r="E1685" s="110">
        <v>2303788</v>
      </c>
      <c r="I1685" s="110">
        <v>141147</v>
      </c>
      <c r="J1685" s="110">
        <v>187633</v>
      </c>
    </row>
    <row r="1686" spans="1:12" x14ac:dyDescent="0.2">
      <c r="A1686" t="s">
        <v>76</v>
      </c>
      <c r="B1686" t="s">
        <v>104</v>
      </c>
      <c r="C1686" t="s">
        <v>194</v>
      </c>
      <c r="D1686" s="110">
        <v>2536736</v>
      </c>
      <c r="I1686" s="110">
        <v>133988</v>
      </c>
    </row>
    <row r="1687" spans="1:12" x14ac:dyDescent="0.2">
      <c r="A1687" t="s">
        <v>76</v>
      </c>
      <c r="B1687" t="s">
        <v>140</v>
      </c>
      <c r="C1687" t="s">
        <v>191</v>
      </c>
      <c r="D1687" s="110">
        <v>368653</v>
      </c>
      <c r="E1687" s="110">
        <v>368653</v>
      </c>
      <c r="F1687" s="110">
        <v>368653</v>
      </c>
      <c r="G1687" s="110">
        <v>368653</v>
      </c>
      <c r="I1687" s="110">
        <v>2247</v>
      </c>
      <c r="J1687" s="110">
        <v>3165</v>
      </c>
      <c r="K1687" s="110">
        <v>3601</v>
      </c>
      <c r="L1687" s="110">
        <v>5694</v>
      </c>
    </row>
    <row r="1688" spans="1:12" x14ac:dyDescent="0.2">
      <c r="A1688" t="s">
        <v>76</v>
      </c>
      <c r="B1688" t="s">
        <v>140</v>
      </c>
      <c r="C1688" t="s">
        <v>192</v>
      </c>
      <c r="D1688" s="110">
        <v>208620</v>
      </c>
      <c r="E1688" s="110">
        <v>208620</v>
      </c>
      <c r="F1688" s="110">
        <v>208620</v>
      </c>
      <c r="I1688" s="110">
        <v>663</v>
      </c>
      <c r="J1688" s="110">
        <v>2851</v>
      </c>
      <c r="K1688" s="110">
        <v>4003</v>
      </c>
    </row>
    <row r="1689" spans="1:12" x14ac:dyDescent="0.2">
      <c r="A1689" t="s">
        <v>76</v>
      </c>
      <c r="B1689" t="s">
        <v>140</v>
      </c>
      <c r="C1689" t="s">
        <v>193</v>
      </c>
      <c r="D1689" s="110">
        <v>1001783</v>
      </c>
      <c r="E1689" s="110">
        <v>1001783</v>
      </c>
      <c r="I1689" s="110">
        <v>2584</v>
      </c>
      <c r="J1689" s="110">
        <v>2834</v>
      </c>
    </row>
    <row r="1690" spans="1:12" x14ac:dyDescent="0.2">
      <c r="A1690" t="s">
        <v>76</v>
      </c>
      <c r="B1690" t="s">
        <v>140</v>
      </c>
      <c r="C1690" t="s">
        <v>194</v>
      </c>
      <c r="D1690" s="110">
        <v>821456</v>
      </c>
      <c r="I1690" s="110">
        <v>51623</v>
      </c>
    </row>
    <row r="1691" spans="1:12" x14ac:dyDescent="0.2">
      <c r="A1691" t="s">
        <v>76</v>
      </c>
      <c r="B1691" t="s">
        <v>105</v>
      </c>
      <c r="C1691" t="s">
        <v>191</v>
      </c>
      <c r="D1691" s="110">
        <v>748527</v>
      </c>
      <c r="E1691" s="110">
        <v>748527</v>
      </c>
      <c r="F1691" s="110">
        <v>748527</v>
      </c>
      <c r="G1691" s="110">
        <v>748527</v>
      </c>
      <c r="I1691" s="110">
        <v>97405</v>
      </c>
      <c r="J1691" s="110">
        <v>116813</v>
      </c>
      <c r="K1691" s="110">
        <v>132593</v>
      </c>
      <c r="L1691" s="110">
        <v>145040</v>
      </c>
    </row>
    <row r="1692" spans="1:12" x14ac:dyDescent="0.2">
      <c r="A1692" t="s">
        <v>76</v>
      </c>
      <c r="B1692" t="s">
        <v>105</v>
      </c>
      <c r="C1692" t="s">
        <v>192</v>
      </c>
      <c r="D1692" s="110">
        <v>799731</v>
      </c>
      <c r="E1692" s="110">
        <v>799731</v>
      </c>
      <c r="F1692" s="110">
        <v>799731</v>
      </c>
      <c r="I1692" s="110">
        <v>106722</v>
      </c>
      <c r="J1692" s="110">
        <v>127218</v>
      </c>
      <c r="K1692" s="110">
        <v>155295</v>
      </c>
    </row>
    <row r="1693" spans="1:12" x14ac:dyDescent="0.2">
      <c r="A1693" t="s">
        <v>76</v>
      </c>
      <c r="B1693" t="s">
        <v>105</v>
      </c>
      <c r="C1693" t="s">
        <v>193</v>
      </c>
      <c r="D1693" s="110">
        <v>862804</v>
      </c>
      <c r="E1693" s="110">
        <v>862804</v>
      </c>
      <c r="I1693" s="110">
        <v>120920</v>
      </c>
      <c r="J1693" s="110">
        <v>146012</v>
      </c>
    </row>
    <row r="1694" spans="1:12" x14ac:dyDescent="0.2">
      <c r="A1694" t="s">
        <v>76</v>
      </c>
      <c r="B1694" t="s">
        <v>105</v>
      </c>
      <c r="C1694" t="s">
        <v>194</v>
      </c>
      <c r="D1694" s="110">
        <v>845199</v>
      </c>
      <c r="I1694" s="110">
        <v>145128</v>
      </c>
    </row>
    <row r="1695" spans="1:12" x14ac:dyDescent="0.2">
      <c r="A1695" t="s">
        <v>76</v>
      </c>
      <c r="B1695" t="s">
        <v>111</v>
      </c>
      <c r="C1695" t="s">
        <v>191</v>
      </c>
      <c r="D1695" s="110">
        <v>95926</v>
      </c>
      <c r="E1695" s="110">
        <v>95926</v>
      </c>
      <c r="F1695" s="110">
        <v>95926</v>
      </c>
      <c r="G1695" s="110">
        <v>95926</v>
      </c>
      <c r="I1695" s="110">
        <v>8892</v>
      </c>
      <c r="J1695" s="110">
        <v>12344</v>
      </c>
      <c r="K1695" s="110">
        <v>13092</v>
      </c>
      <c r="L1695" s="110">
        <v>13344</v>
      </c>
    </row>
    <row r="1696" spans="1:12" x14ac:dyDescent="0.2">
      <c r="A1696" t="s">
        <v>76</v>
      </c>
      <c r="B1696" t="s">
        <v>111</v>
      </c>
      <c r="C1696" t="s">
        <v>192</v>
      </c>
      <c r="D1696" s="110">
        <v>88580</v>
      </c>
      <c r="E1696" s="110">
        <v>88580</v>
      </c>
      <c r="F1696" s="110">
        <v>88580</v>
      </c>
      <c r="I1696" s="110">
        <v>12735</v>
      </c>
      <c r="J1696" s="110">
        <v>17550</v>
      </c>
      <c r="K1696" s="110">
        <v>18705</v>
      </c>
    </row>
    <row r="1697" spans="1:12" x14ac:dyDescent="0.2">
      <c r="A1697" t="s">
        <v>76</v>
      </c>
      <c r="B1697" t="s">
        <v>111</v>
      </c>
      <c r="C1697" t="s">
        <v>193</v>
      </c>
      <c r="D1697" s="110">
        <v>66775</v>
      </c>
      <c r="E1697" s="110">
        <v>66775</v>
      </c>
      <c r="I1697" s="110">
        <v>8651</v>
      </c>
      <c r="J1697" s="110">
        <v>11186</v>
      </c>
    </row>
    <row r="1698" spans="1:12" x14ac:dyDescent="0.2">
      <c r="A1698" t="s">
        <v>76</v>
      </c>
      <c r="B1698" t="s">
        <v>111</v>
      </c>
      <c r="C1698" t="s">
        <v>194</v>
      </c>
      <c r="D1698" s="110">
        <v>69023</v>
      </c>
      <c r="I1698" s="110">
        <v>9565</v>
      </c>
    </row>
    <row r="1699" spans="1:12" x14ac:dyDescent="0.2">
      <c r="A1699" t="s">
        <v>76</v>
      </c>
      <c r="B1699" t="s">
        <v>109</v>
      </c>
      <c r="C1699" t="s">
        <v>191</v>
      </c>
      <c r="D1699" s="110">
        <v>1207759.82</v>
      </c>
      <c r="E1699" s="110">
        <v>1207759.82</v>
      </c>
      <c r="F1699" s="110">
        <v>1207759.82</v>
      </c>
      <c r="G1699" s="110">
        <v>1207759.82</v>
      </c>
      <c r="I1699" s="110">
        <v>144801.07999999999</v>
      </c>
      <c r="J1699" s="110">
        <v>248102.35</v>
      </c>
      <c r="K1699" s="110">
        <v>373080.09</v>
      </c>
      <c r="L1699" s="110">
        <v>418266.11</v>
      </c>
    </row>
    <row r="1700" spans="1:12" x14ac:dyDescent="0.2">
      <c r="A1700" t="s">
        <v>76</v>
      </c>
      <c r="B1700" t="s">
        <v>109</v>
      </c>
      <c r="C1700" t="s">
        <v>192</v>
      </c>
      <c r="D1700" s="110">
        <v>1301094.71</v>
      </c>
      <c r="E1700" s="110">
        <v>1301094.71</v>
      </c>
      <c r="F1700" s="110">
        <v>1301094.71</v>
      </c>
      <c r="I1700" s="110">
        <v>185948.51</v>
      </c>
      <c r="J1700" s="110">
        <v>265641.49</v>
      </c>
      <c r="K1700" s="110">
        <v>358439.39</v>
      </c>
    </row>
    <row r="1701" spans="1:12" x14ac:dyDescent="0.2">
      <c r="A1701" t="s">
        <v>76</v>
      </c>
      <c r="B1701" t="s">
        <v>109</v>
      </c>
      <c r="C1701" t="s">
        <v>193</v>
      </c>
      <c r="D1701" s="110">
        <v>1344465.39</v>
      </c>
      <c r="E1701" s="110">
        <v>1344465.39</v>
      </c>
      <c r="I1701" s="110">
        <v>176698.22</v>
      </c>
      <c r="J1701" s="110">
        <v>263145.89</v>
      </c>
    </row>
    <row r="1702" spans="1:12" x14ac:dyDescent="0.2">
      <c r="A1702" t="s">
        <v>76</v>
      </c>
      <c r="B1702" t="s">
        <v>109</v>
      </c>
      <c r="C1702" t="s">
        <v>194</v>
      </c>
      <c r="D1702" s="110">
        <v>1245451.7</v>
      </c>
      <c r="I1702" s="110">
        <v>148045.29999999999</v>
      </c>
    </row>
    <row r="1703" spans="1:12" x14ac:dyDescent="0.2">
      <c r="A1703" t="s">
        <v>76</v>
      </c>
      <c r="B1703" t="s">
        <v>106</v>
      </c>
      <c r="C1703" t="s">
        <v>191</v>
      </c>
      <c r="D1703" s="110">
        <v>3222839</v>
      </c>
      <c r="E1703" s="110">
        <v>3222839</v>
      </c>
      <c r="F1703" s="110">
        <v>3222839</v>
      </c>
      <c r="G1703" s="110">
        <v>3222839</v>
      </c>
      <c r="I1703" s="110">
        <v>3222839</v>
      </c>
      <c r="J1703" s="110">
        <v>3222839</v>
      </c>
      <c r="K1703" s="110">
        <v>3222839</v>
      </c>
      <c r="L1703" s="110">
        <v>3222839</v>
      </c>
    </row>
    <row r="1704" spans="1:12" x14ac:dyDescent="0.2">
      <c r="A1704" t="s">
        <v>76</v>
      </c>
      <c r="B1704" t="s">
        <v>106</v>
      </c>
      <c r="C1704" t="s">
        <v>192</v>
      </c>
      <c r="D1704" s="110">
        <v>4907606</v>
      </c>
      <c r="E1704" s="110">
        <v>4907606</v>
      </c>
      <c r="F1704" s="110">
        <v>4907606</v>
      </c>
      <c r="I1704" s="110">
        <v>4907606</v>
      </c>
      <c r="J1704" s="110">
        <v>4907606</v>
      </c>
      <c r="K1704" s="110">
        <v>4907606</v>
      </c>
    </row>
    <row r="1705" spans="1:12" x14ac:dyDescent="0.2">
      <c r="A1705" t="s">
        <v>76</v>
      </c>
      <c r="B1705" t="s">
        <v>106</v>
      </c>
      <c r="C1705" t="s">
        <v>193</v>
      </c>
      <c r="D1705" s="110">
        <v>6273289</v>
      </c>
      <c r="E1705" s="110">
        <v>6273289</v>
      </c>
      <c r="I1705" s="110">
        <v>6273289</v>
      </c>
      <c r="J1705" s="110">
        <v>6273289</v>
      </c>
    </row>
    <row r="1706" spans="1:12" x14ac:dyDescent="0.2">
      <c r="A1706" t="s">
        <v>76</v>
      </c>
      <c r="B1706" t="s">
        <v>106</v>
      </c>
      <c r="C1706" t="s">
        <v>194</v>
      </c>
      <c r="D1706" s="110">
        <v>5657699</v>
      </c>
      <c r="I1706" s="110">
        <v>5657699</v>
      </c>
    </row>
    <row r="1707" spans="1:12" x14ac:dyDescent="0.2">
      <c r="A1707" t="s">
        <v>76</v>
      </c>
      <c r="B1707" t="s">
        <v>107</v>
      </c>
      <c r="C1707" t="s">
        <v>191</v>
      </c>
      <c r="D1707" s="110">
        <v>4331405</v>
      </c>
      <c r="E1707" s="110">
        <v>4331405</v>
      </c>
      <c r="F1707" s="110">
        <v>4331405</v>
      </c>
      <c r="G1707" s="110">
        <v>4331405</v>
      </c>
      <c r="I1707" s="110">
        <v>4331405</v>
      </c>
      <c r="J1707" s="110">
        <v>4331405</v>
      </c>
      <c r="K1707" s="110">
        <v>4331405</v>
      </c>
      <c r="L1707" s="110">
        <v>4331405</v>
      </c>
    </row>
    <row r="1708" spans="1:12" x14ac:dyDescent="0.2">
      <c r="A1708" t="s">
        <v>76</v>
      </c>
      <c r="B1708" t="s">
        <v>107</v>
      </c>
      <c r="C1708" t="s">
        <v>192</v>
      </c>
      <c r="D1708" s="110">
        <v>4964698</v>
      </c>
      <c r="E1708" s="110">
        <v>4964698</v>
      </c>
      <c r="F1708" s="110">
        <v>4964698</v>
      </c>
      <c r="I1708" s="110">
        <v>4964698</v>
      </c>
      <c r="J1708" s="110">
        <v>4964698</v>
      </c>
      <c r="K1708" s="110">
        <v>4964698</v>
      </c>
    </row>
    <row r="1709" spans="1:12" x14ac:dyDescent="0.2">
      <c r="A1709" t="s">
        <v>76</v>
      </c>
      <c r="B1709" t="s">
        <v>107</v>
      </c>
      <c r="C1709" t="s">
        <v>193</v>
      </c>
      <c r="D1709" s="110">
        <v>5406978</v>
      </c>
      <c r="E1709" s="110">
        <v>5406978</v>
      </c>
      <c r="I1709" s="110">
        <v>5406978</v>
      </c>
      <c r="J1709" s="110">
        <v>5406978</v>
      </c>
    </row>
    <row r="1710" spans="1:12" x14ac:dyDescent="0.2">
      <c r="A1710" t="s">
        <v>76</v>
      </c>
      <c r="B1710" t="s">
        <v>107</v>
      </c>
      <c r="C1710" t="s">
        <v>194</v>
      </c>
      <c r="D1710" s="110">
        <v>5665820</v>
      </c>
      <c r="I1710" s="110">
        <v>5665820</v>
      </c>
    </row>
    <row r="1711" spans="1:12" x14ac:dyDescent="0.2">
      <c r="A1711" t="s">
        <v>76</v>
      </c>
      <c r="B1711" t="s">
        <v>108</v>
      </c>
      <c r="C1711" t="s">
        <v>191</v>
      </c>
      <c r="D1711" s="110">
        <v>489610</v>
      </c>
      <c r="E1711" s="110">
        <v>489610</v>
      </c>
      <c r="F1711" s="110">
        <v>489610</v>
      </c>
      <c r="G1711" s="110">
        <v>489610</v>
      </c>
      <c r="I1711" s="110">
        <v>489610</v>
      </c>
      <c r="J1711" s="110">
        <v>489610</v>
      </c>
      <c r="K1711" s="110">
        <v>489610</v>
      </c>
      <c r="L1711" s="110">
        <v>489610</v>
      </c>
    </row>
    <row r="1712" spans="1:12" x14ac:dyDescent="0.2">
      <c r="A1712" t="s">
        <v>76</v>
      </c>
      <c r="B1712" t="s">
        <v>108</v>
      </c>
      <c r="C1712" t="s">
        <v>192</v>
      </c>
      <c r="D1712" s="110">
        <v>522023</v>
      </c>
      <c r="E1712" s="110">
        <v>522023</v>
      </c>
      <c r="F1712" s="110">
        <v>522023</v>
      </c>
      <c r="I1712" s="110">
        <v>522023</v>
      </c>
      <c r="J1712" s="110">
        <v>522023</v>
      </c>
      <c r="K1712" s="110">
        <v>522023</v>
      </c>
    </row>
    <row r="1713" spans="1:12" x14ac:dyDescent="0.2">
      <c r="A1713" t="s">
        <v>76</v>
      </c>
      <c r="B1713" t="s">
        <v>108</v>
      </c>
      <c r="C1713" t="s">
        <v>193</v>
      </c>
      <c r="D1713" s="110">
        <v>546160</v>
      </c>
      <c r="E1713" s="110">
        <v>546160</v>
      </c>
      <c r="I1713" s="110">
        <v>546160</v>
      </c>
      <c r="J1713" s="110">
        <v>546160</v>
      </c>
    </row>
    <row r="1714" spans="1:12" x14ac:dyDescent="0.2">
      <c r="A1714" t="s">
        <v>76</v>
      </c>
      <c r="B1714" t="s">
        <v>108</v>
      </c>
      <c r="C1714" t="s">
        <v>194</v>
      </c>
      <c r="D1714" s="110">
        <v>504908</v>
      </c>
      <c r="I1714" s="110">
        <v>504908</v>
      </c>
    </row>
    <row r="1715" spans="1:12" x14ac:dyDescent="0.2">
      <c r="A1715" t="s">
        <v>76</v>
      </c>
      <c r="B1715" t="s">
        <v>70</v>
      </c>
      <c r="C1715" t="s">
        <v>191</v>
      </c>
      <c r="D1715" s="110">
        <v>1286577</v>
      </c>
      <c r="E1715" s="110">
        <v>1286577</v>
      </c>
      <c r="F1715" s="110">
        <v>1286577</v>
      </c>
      <c r="G1715" s="110">
        <v>1286577</v>
      </c>
      <c r="I1715" s="110">
        <v>1286577</v>
      </c>
      <c r="J1715" s="110">
        <v>1286577</v>
      </c>
      <c r="K1715" s="110">
        <v>1286577</v>
      </c>
      <c r="L1715" s="110">
        <v>1286577</v>
      </c>
    </row>
    <row r="1716" spans="1:12" x14ac:dyDescent="0.2">
      <c r="A1716" t="s">
        <v>76</v>
      </c>
      <c r="B1716" t="s">
        <v>70</v>
      </c>
      <c r="C1716" t="s">
        <v>192</v>
      </c>
      <c r="D1716" s="110">
        <v>1414812</v>
      </c>
      <c r="E1716" s="110">
        <v>1414812</v>
      </c>
      <c r="F1716" s="110">
        <v>1414812</v>
      </c>
      <c r="I1716" s="110">
        <v>1414812</v>
      </c>
      <c r="J1716" s="110">
        <v>1414812</v>
      </c>
      <c r="K1716" s="110">
        <v>1414812</v>
      </c>
    </row>
    <row r="1717" spans="1:12" x14ac:dyDescent="0.2">
      <c r="A1717" t="s">
        <v>76</v>
      </c>
      <c r="B1717" t="s">
        <v>70</v>
      </c>
      <c r="C1717" t="s">
        <v>193</v>
      </c>
      <c r="D1717" s="110">
        <v>1488815</v>
      </c>
      <c r="E1717" s="110">
        <v>1488815</v>
      </c>
      <c r="I1717" s="110">
        <v>1488815</v>
      </c>
      <c r="J1717" s="110">
        <v>1488815</v>
      </c>
    </row>
    <row r="1718" spans="1:12" x14ac:dyDescent="0.2">
      <c r="A1718" t="s">
        <v>76</v>
      </c>
      <c r="B1718" t="s">
        <v>70</v>
      </c>
      <c r="C1718" t="s">
        <v>194</v>
      </c>
      <c r="D1718" s="110">
        <v>1294490</v>
      </c>
      <c r="I1718" s="110">
        <v>1294490</v>
      </c>
    </row>
    <row r="1719" spans="1:12" x14ac:dyDescent="0.2">
      <c r="A1719" t="s">
        <v>76</v>
      </c>
      <c r="B1719" t="s">
        <v>110</v>
      </c>
      <c r="C1719" t="s">
        <v>191</v>
      </c>
      <c r="D1719" s="110">
        <v>17895594.030000001</v>
      </c>
      <c r="E1719" s="110">
        <v>17895594.030000001</v>
      </c>
      <c r="F1719" s="110">
        <v>17895594.030000001</v>
      </c>
      <c r="G1719" s="110">
        <v>17895594.030000001</v>
      </c>
      <c r="I1719" s="110">
        <v>7152276.9299999997</v>
      </c>
      <c r="J1719" s="110">
        <v>11800197.640000001</v>
      </c>
      <c r="K1719" s="110">
        <v>12957998.76</v>
      </c>
      <c r="L1719" s="110">
        <v>13575226.77</v>
      </c>
    </row>
    <row r="1720" spans="1:12" x14ac:dyDescent="0.2">
      <c r="A1720" t="s">
        <v>76</v>
      </c>
      <c r="B1720" t="s">
        <v>110</v>
      </c>
      <c r="C1720" t="s">
        <v>192</v>
      </c>
      <c r="D1720" s="110">
        <v>20913798.66</v>
      </c>
      <c r="E1720" s="110">
        <v>20913798.66</v>
      </c>
      <c r="F1720" s="110">
        <v>20913798.66</v>
      </c>
      <c r="I1720" s="110">
        <v>7648277.8799999999</v>
      </c>
      <c r="J1720" s="110">
        <v>12358826.57</v>
      </c>
      <c r="K1720" s="110">
        <v>14016868.779999999</v>
      </c>
    </row>
    <row r="1721" spans="1:12" x14ac:dyDescent="0.2">
      <c r="A1721" t="s">
        <v>76</v>
      </c>
      <c r="B1721" t="s">
        <v>110</v>
      </c>
      <c r="C1721" t="s">
        <v>193</v>
      </c>
      <c r="D1721" s="110">
        <v>18180351.969999999</v>
      </c>
      <c r="E1721" s="110">
        <v>18180351.969999999</v>
      </c>
      <c r="I1721" s="110">
        <v>5534312.9400000004</v>
      </c>
      <c r="J1721" s="110">
        <v>8666859.3499999996</v>
      </c>
    </row>
    <row r="1722" spans="1:12" x14ac:dyDescent="0.2">
      <c r="A1722" t="s">
        <v>76</v>
      </c>
      <c r="B1722" t="s">
        <v>110</v>
      </c>
      <c r="C1722" t="s">
        <v>194</v>
      </c>
      <c r="D1722" s="110">
        <v>19010044.300000001</v>
      </c>
      <c r="I1722" s="110">
        <v>5462403.5</v>
      </c>
    </row>
    <row r="1723" spans="1:12" x14ac:dyDescent="0.2">
      <c r="A1723" t="s">
        <v>44</v>
      </c>
      <c r="B1723" t="s">
        <v>104</v>
      </c>
      <c r="C1723" t="s">
        <v>191</v>
      </c>
      <c r="D1723" s="110">
        <v>435163</v>
      </c>
      <c r="E1723" s="110">
        <v>433269</v>
      </c>
      <c r="F1723" s="110">
        <v>431703</v>
      </c>
      <c r="G1723" s="110">
        <v>430905</v>
      </c>
      <c r="I1723" s="110">
        <v>50138</v>
      </c>
      <c r="J1723" s="110">
        <v>59745</v>
      </c>
      <c r="K1723" s="110">
        <v>75821</v>
      </c>
      <c r="L1723" s="110">
        <v>85669</v>
      </c>
    </row>
    <row r="1724" spans="1:12" x14ac:dyDescent="0.2">
      <c r="A1724" t="s">
        <v>44</v>
      </c>
      <c r="B1724" t="s">
        <v>104</v>
      </c>
      <c r="C1724" t="s">
        <v>192</v>
      </c>
      <c r="D1724" s="110">
        <v>307745</v>
      </c>
      <c r="E1724" s="110">
        <v>306995</v>
      </c>
      <c r="F1724" s="110">
        <v>306085</v>
      </c>
      <c r="I1724" s="110">
        <v>14695</v>
      </c>
      <c r="J1724" s="110">
        <v>32909</v>
      </c>
      <c r="K1724" s="110">
        <v>43804</v>
      </c>
    </row>
    <row r="1725" spans="1:12" x14ac:dyDescent="0.2">
      <c r="A1725" t="s">
        <v>44</v>
      </c>
      <c r="B1725" t="s">
        <v>104</v>
      </c>
      <c r="C1725" t="s">
        <v>193</v>
      </c>
      <c r="D1725" s="110">
        <v>444630</v>
      </c>
      <c r="E1725" s="110">
        <v>443273</v>
      </c>
      <c r="I1725" s="110">
        <v>119715</v>
      </c>
      <c r="J1725" s="110">
        <v>140307.64000000001</v>
      </c>
    </row>
    <row r="1726" spans="1:12" x14ac:dyDescent="0.2">
      <c r="A1726" t="s">
        <v>44</v>
      </c>
      <c r="B1726" t="s">
        <v>104</v>
      </c>
      <c r="C1726" t="s">
        <v>194</v>
      </c>
      <c r="D1726" s="110">
        <v>366717</v>
      </c>
      <c r="I1726" s="110">
        <v>92499.32</v>
      </c>
    </row>
    <row r="1727" spans="1:12" x14ac:dyDescent="0.2">
      <c r="A1727" t="s">
        <v>44</v>
      </c>
      <c r="B1727" t="s">
        <v>140</v>
      </c>
      <c r="C1727" t="s">
        <v>191</v>
      </c>
      <c r="D1727" s="110">
        <v>39091.72</v>
      </c>
      <c r="E1727" s="110">
        <v>39091.72</v>
      </c>
      <c r="F1727" s="110">
        <v>39091.72</v>
      </c>
      <c r="G1727" s="110">
        <v>39091.72</v>
      </c>
      <c r="I1727" s="110">
        <v>2152.98</v>
      </c>
      <c r="J1727" s="110">
        <v>6698.42</v>
      </c>
      <c r="K1727" s="110">
        <v>8378.0499999999993</v>
      </c>
      <c r="L1727" s="110">
        <v>13291.08</v>
      </c>
    </row>
    <row r="1728" spans="1:12" x14ac:dyDescent="0.2">
      <c r="A1728" t="s">
        <v>44</v>
      </c>
      <c r="B1728" t="s">
        <v>140</v>
      </c>
      <c r="C1728" t="s">
        <v>192</v>
      </c>
      <c r="D1728" s="110">
        <v>8765</v>
      </c>
      <c r="E1728" s="110">
        <v>4418</v>
      </c>
      <c r="F1728" s="110">
        <v>8765</v>
      </c>
      <c r="I1728" s="110">
        <v>1182.29</v>
      </c>
      <c r="J1728" s="110">
        <v>584.48</v>
      </c>
      <c r="K1728" s="110">
        <v>351.75</v>
      </c>
    </row>
    <row r="1729" spans="1:12" x14ac:dyDescent="0.2">
      <c r="A1729" t="s">
        <v>44</v>
      </c>
      <c r="B1729" t="s">
        <v>140</v>
      </c>
      <c r="C1729" t="s">
        <v>193</v>
      </c>
      <c r="D1729" s="110">
        <v>18616.38</v>
      </c>
      <c r="E1729" s="110">
        <v>18616.38</v>
      </c>
      <c r="I1729" s="110">
        <v>1774.76</v>
      </c>
      <c r="J1729" s="110">
        <v>14159.61</v>
      </c>
    </row>
    <row r="1730" spans="1:12" x14ac:dyDescent="0.2">
      <c r="A1730" t="s">
        <v>44</v>
      </c>
      <c r="B1730" t="s">
        <v>140</v>
      </c>
      <c r="C1730" t="s">
        <v>194</v>
      </c>
      <c r="D1730" s="110">
        <v>159242.76</v>
      </c>
      <c r="I1730" s="110">
        <v>24289.33</v>
      </c>
    </row>
    <row r="1731" spans="1:12" x14ac:dyDescent="0.2">
      <c r="A1731" t="s">
        <v>44</v>
      </c>
      <c r="B1731" t="s">
        <v>105</v>
      </c>
      <c r="C1731" t="s">
        <v>191</v>
      </c>
      <c r="D1731" s="110">
        <v>281373</v>
      </c>
      <c r="E1731" s="110">
        <v>277774</v>
      </c>
      <c r="F1731" s="110">
        <v>277492</v>
      </c>
      <c r="G1731" s="110">
        <v>275319</v>
      </c>
      <c r="I1731" s="110">
        <v>86640</v>
      </c>
      <c r="J1731" s="110">
        <v>128855</v>
      </c>
      <c r="K1731" s="110">
        <v>147690</v>
      </c>
      <c r="L1731" s="110">
        <v>160013</v>
      </c>
    </row>
    <row r="1732" spans="1:12" x14ac:dyDescent="0.2">
      <c r="A1732" t="s">
        <v>44</v>
      </c>
      <c r="B1732" t="s">
        <v>105</v>
      </c>
      <c r="C1732" t="s">
        <v>192</v>
      </c>
      <c r="D1732" s="110">
        <v>411892</v>
      </c>
      <c r="E1732" s="110">
        <v>408530</v>
      </c>
      <c r="F1732" s="110">
        <v>407757</v>
      </c>
      <c r="I1732" s="110">
        <v>126341</v>
      </c>
      <c r="J1732" s="110">
        <v>192588</v>
      </c>
      <c r="K1732" s="110">
        <v>213065</v>
      </c>
    </row>
    <row r="1733" spans="1:12" x14ac:dyDescent="0.2">
      <c r="A1733" t="s">
        <v>44</v>
      </c>
      <c r="B1733" t="s">
        <v>105</v>
      </c>
      <c r="C1733" t="s">
        <v>193</v>
      </c>
      <c r="D1733" s="110">
        <v>480795</v>
      </c>
      <c r="E1733" s="110">
        <v>473529</v>
      </c>
      <c r="I1733" s="110">
        <v>127940</v>
      </c>
      <c r="J1733" s="110">
        <v>198851</v>
      </c>
    </row>
    <row r="1734" spans="1:12" x14ac:dyDescent="0.2">
      <c r="A1734" t="s">
        <v>44</v>
      </c>
      <c r="B1734" t="s">
        <v>105</v>
      </c>
      <c r="C1734" t="s">
        <v>194</v>
      </c>
      <c r="D1734" s="110">
        <v>495853</v>
      </c>
      <c r="I1734" s="110">
        <v>158443</v>
      </c>
    </row>
    <row r="1735" spans="1:12" x14ac:dyDescent="0.2">
      <c r="A1735" t="s">
        <v>44</v>
      </c>
      <c r="B1735" t="s">
        <v>111</v>
      </c>
      <c r="C1735" t="s">
        <v>191</v>
      </c>
      <c r="D1735" s="110">
        <v>449</v>
      </c>
      <c r="E1735" s="110">
        <v>449</v>
      </c>
      <c r="F1735" s="110">
        <v>449</v>
      </c>
      <c r="G1735" s="110">
        <v>249</v>
      </c>
      <c r="I1735" s="110">
        <v>49</v>
      </c>
      <c r="J1735" s="110">
        <v>49</v>
      </c>
      <c r="K1735" s="110">
        <v>49</v>
      </c>
      <c r="L1735" s="110">
        <v>49</v>
      </c>
    </row>
    <row r="1736" spans="1:12" x14ac:dyDescent="0.2">
      <c r="A1736" t="s">
        <v>44</v>
      </c>
      <c r="B1736" t="s">
        <v>111</v>
      </c>
      <c r="C1736" t="s">
        <v>192</v>
      </c>
      <c r="D1736" s="110">
        <v>153</v>
      </c>
      <c r="E1736" s="110">
        <v>153</v>
      </c>
      <c r="F1736" s="110">
        <v>153</v>
      </c>
      <c r="I1736" s="110">
        <v>3</v>
      </c>
      <c r="J1736" s="110">
        <v>3</v>
      </c>
      <c r="K1736" s="110">
        <v>3</v>
      </c>
    </row>
    <row r="1737" spans="1:12" x14ac:dyDescent="0.2">
      <c r="A1737" t="s">
        <v>44</v>
      </c>
      <c r="B1737" t="s">
        <v>111</v>
      </c>
      <c r="C1737" t="s">
        <v>193</v>
      </c>
      <c r="D1737" s="110">
        <v>186</v>
      </c>
      <c r="E1737" s="110">
        <v>186</v>
      </c>
      <c r="I1737" s="110">
        <v>86</v>
      </c>
      <c r="J1737" s="110">
        <v>86</v>
      </c>
    </row>
    <row r="1738" spans="1:12" x14ac:dyDescent="0.2">
      <c r="A1738" t="s">
        <v>44</v>
      </c>
      <c r="B1738" t="s">
        <v>111</v>
      </c>
      <c r="C1738" t="s">
        <v>194</v>
      </c>
      <c r="D1738" s="110">
        <v>69</v>
      </c>
      <c r="I1738" s="110">
        <v>19</v>
      </c>
    </row>
    <row r="1739" spans="1:12" x14ac:dyDescent="0.2">
      <c r="A1739" t="s">
        <v>44</v>
      </c>
      <c r="B1739" t="s">
        <v>109</v>
      </c>
      <c r="C1739" t="s">
        <v>191</v>
      </c>
      <c r="D1739" s="110">
        <v>69300</v>
      </c>
      <c r="E1739" s="110">
        <v>68948</v>
      </c>
      <c r="F1739" s="110">
        <v>68898</v>
      </c>
      <c r="G1739" s="110">
        <v>68898</v>
      </c>
      <c r="I1739" s="110">
        <v>25940</v>
      </c>
      <c r="J1739" s="110">
        <v>41069</v>
      </c>
      <c r="K1739" s="110">
        <v>47072</v>
      </c>
      <c r="L1739" s="110">
        <v>50266</v>
      </c>
    </row>
    <row r="1740" spans="1:12" x14ac:dyDescent="0.2">
      <c r="A1740" t="s">
        <v>44</v>
      </c>
      <c r="B1740" t="s">
        <v>109</v>
      </c>
      <c r="C1740" t="s">
        <v>192</v>
      </c>
      <c r="D1740" s="110">
        <v>109373</v>
      </c>
      <c r="E1740" s="110">
        <v>109323</v>
      </c>
      <c r="F1740" s="110">
        <v>109323</v>
      </c>
      <c r="I1740" s="110">
        <v>37253</v>
      </c>
      <c r="J1740" s="110">
        <v>58337</v>
      </c>
      <c r="K1740" s="110">
        <v>66252</v>
      </c>
    </row>
    <row r="1741" spans="1:12" x14ac:dyDescent="0.2">
      <c r="A1741" t="s">
        <v>44</v>
      </c>
      <c r="B1741" t="s">
        <v>109</v>
      </c>
      <c r="C1741" t="s">
        <v>193</v>
      </c>
      <c r="D1741" s="110">
        <v>98747</v>
      </c>
      <c r="E1741" s="110">
        <v>98597</v>
      </c>
      <c r="I1741" s="110">
        <v>29337</v>
      </c>
      <c r="J1741" s="110">
        <v>49427</v>
      </c>
    </row>
    <row r="1742" spans="1:12" x14ac:dyDescent="0.2">
      <c r="A1742" t="s">
        <v>44</v>
      </c>
      <c r="B1742" t="s">
        <v>109</v>
      </c>
      <c r="C1742" t="s">
        <v>194</v>
      </c>
      <c r="D1742" s="110">
        <v>90717</v>
      </c>
      <c r="I1742" s="110">
        <v>31620</v>
      </c>
    </row>
    <row r="1743" spans="1:12" x14ac:dyDescent="0.2">
      <c r="A1743" t="s">
        <v>44</v>
      </c>
      <c r="B1743" t="s">
        <v>106</v>
      </c>
      <c r="C1743" t="s">
        <v>191</v>
      </c>
      <c r="D1743" s="110">
        <v>181839</v>
      </c>
      <c r="E1743" s="110">
        <v>181819</v>
      </c>
      <c r="F1743" s="110">
        <v>181819</v>
      </c>
      <c r="G1743" s="110">
        <v>181819</v>
      </c>
      <c r="I1743" s="110">
        <v>174835</v>
      </c>
      <c r="J1743" s="110">
        <v>176285</v>
      </c>
      <c r="K1743" s="110">
        <v>176285</v>
      </c>
      <c r="L1743" s="110">
        <v>176285</v>
      </c>
    </row>
    <row r="1744" spans="1:12" x14ac:dyDescent="0.2">
      <c r="A1744" t="s">
        <v>44</v>
      </c>
      <c r="B1744" t="s">
        <v>106</v>
      </c>
      <c r="C1744" t="s">
        <v>192</v>
      </c>
      <c r="D1744" s="110">
        <v>254413</v>
      </c>
      <c r="E1744" s="110">
        <v>254413</v>
      </c>
      <c r="F1744" s="110">
        <v>254413</v>
      </c>
      <c r="I1744" s="110">
        <v>246598</v>
      </c>
      <c r="J1744" s="110">
        <v>247226</v>
      </c>
      <c r="K1744" s="110">
        <v>247232</v>
      </c>
    </row>
    <row r="1745" spans="1:12" x14ac:dyDescent="0.2">
      <c r="A1745" t="s">
        <v>44</v>
      </c>
      <c r="B1745" t="s">
        <v>106</v>
      </c>
      <c r="C1745" t="s">
        <v>193</v>
      </c>
      <c r="D1745" s="110">
        <v>369219</v>
      </c>
      <c r="E1745" s="110">
        <v>368814</v>
      </c>
      <c r="I1745" s="110">
        <v>357727</v>
      </c>
      <c r="J1745" s="110">
        <v>360427</v>
      </c>
    </row>
    <row r="1746" spans="1:12" x14ac:dyDescent="0.2">
      <c r="A1746" t="s">
        <v>44</v>
      </c>
      <c r="B1746" t="s">
        <v>106</v>
      </c>
      <c r="C1746" t="s">
        <v>194</v>
      </c>
      <c r="D1746" s="110">
        <v>295013</v>
      </c>
      <c r="I1746" s="110">
        <v>285007</v>
      </c>
    </row>
    <row r="1747" spans="1:12" x14ac:dyDescent="0.2">
      <c r="A1747" t="s">
        <v>44</v>
      </c>
      <c r="B1747" t="s">
        <v>107</v>
      </c>
      <c r="C1747" t="s">
        <v>191</v>
      </c>
      <c r="D1747" s="110">
        <v>79390</v>
      </c>
      <c r="E1747" s="110">
        <v>79270</v>
      </c>
      <c r="F1747" s="110">
        <v>79270</v>
      </c>
      <c r="G1747" s="110">
        <v>79270</v>
      </c>
      <c r="I1747" s="110">
        <v>76993</v>
      </c>
      <c r="J1747" s="110">
        <v>77223</v>
      </c>
      <c r="K1747" s="110">
        <v>77308</v>
      </c>
      <c r="L1747" s="110">
        <v>77308</v>
      </c>
    </row>
    <row r="1748" spans="1:12" x14ac:dyDescent="0.2">
      <c r="A1748" t="s">
        <v>44</v>
      </c>
      <c r="B1748" t="s">
        <v>107</v>
      </c>
      <c r="C1748" t="s">
        <v>192</v>
      </c>
      <c r="D1748" s="110">
        <v>74793</v>
      </c>
      <c r="E1748" s="110">
        <v>74493</v>
      </c>
      <c r="F1748" s="110">
        <v>74493</v>
      </c>
      <c r="I1748" s="110">
        <v>72330</v>
      </c>
      <c r="J1748" s="110">
        <v>72415</v>
      </c>
      <c r="K1748" s="110">
        <v>72415</v>
      </c>
    </row>
    <row r="1749" spans="1:12" x14ac:dyDescent="0.2">
      <c r="A1749" t="s">
        <v>44</v>
      </c>
      <c r="B1749" t="s">
        <v>107</v>
      </c>
      <c r="C1749" t="s">
        <v>193</v>
      </c>
      <c r="D1749" s="110">
        <v>94628</v>
      </c>
      <c r="E1749" s="110">
        <v>94928</v>
      </c>
      <c r="I1749" s="110">
        <v>92733</v>
      </c>
      <c r="J1749" s="110">
        <v>93198</v>
      </c>
    </row>
    <row r="1750" spans="1:12" x14ac:dyDescent="0.2">
      <c r="A1750" t="s">
        <v>44</v>
      </c>
      <c r="B1750" t="s">
        <v>107</v>
      </c>
      <c r="C1750" t="s">
        <v>194</v>
      </c>
      <c r="D1750" s="110">
        <v>88327</v>
      </c>
      <c r="I1750" s="110">
        <v>85252</v>
      </c>
    </row>
    <row r="1751" spans="1:12" x14ac:dyDescent="0.2">
      <c r="A1751" t="s">
        <v>44</v>
      </c>
      <c r="B1751" t="s">
        <v>108</v>
      </c>
      <c r="C1751" t="s">
        <v>191</v>
      </c>
      <c r="D1751" s="110">
        <v>36459</v>
      </c>
      <c r="E1751" s="110">
        <v>36459</v>
      </c>
      <c r="F1751" s="110">
        <v>36059</v>
      </c>
      <c r="G1751" s="110">
        <v>36059</v>
      </c>
      <c r="I1751" s="110">
        <v>35259</v>
      </c>
      <c r="J1751" s="110">
        <v>35271</v>
      </c>
      <c r="K1751" s="110">
        <v>35282</v>
      </c>
      <c r="L1751" s="110">
        <v>35282</v>
      </c>
    </row>
    <row r="1752" spans="1:12" x14ac:dyDescent="0.2">
      <c r="A1752" t="s">
        <v>44</v>
      </c>
      <c r="B1752" t="s">
        <v>108</v>
      </c>
      <c r="C1752" t="s">
        <v>192</v>
      </c>
      <c r="D1752" s="110">
        <v>42552</v>
      </c>
      <c r="E1752" s="110">
        <v>42552</v>
      </c>
      <c r="F1752" s="110">
        <v>42552</v>
      </c>
      <c r="I1752" s="110">
        <v>41950</v>
      </c>
      <c r="J1752" s="110">
        <v>42000</v>
      </c>
      <c r="K1752" s="110">
        <v>42000</v>
      </c>
    </row>
    <row r="1753" spans="1:12" x14ac:dyDescent="0.2">
      <c r="A1753" t="s">
        <v>44</v>
      </c>
      <c r="B1753" t="s">
        <v>108</v>
      </c>
      <c r="C1753" t="s">
        <v>193</v>
      </c>
      <c r="D1753" s="110">
        <v>46005</v>
      </c>
      <c r="E1753" s="110">
        <v>46005</v>
      </c>
      <c r="I1753" s="110">
        <v>45215</v>
      </c>
      <c r="J1753" s="110">
        <v>45231</v>
      </c>
    </row>
    <row r="1754" spans="1:12" x14ac:dyDescent="0.2">
      <c r="A1754" t="s">
        <v>44</v>
      </c>
      <c r="B1754" t="s">
        <v>108</v>
      </c>
      <c r="C1754" t="s">
        <v>194</v>
      </c>
      <c r="D1754" s="110">
        <v>39609</v>
      </c>
      <c r="I1754" s="110">
        <v>38881</v>
      </c>
    </row>
    <row r="1755" spans="1:12" x14ac:dyDescent="0.2">
      <c r="A1755" t="s">
        <v>44</v>
      </c>
      <c r="B1755" t="s">
        <v>70</v>
      </c>
      <c r="C1755" t="s">
        <v>191</v>
      </c>
      <c r="D1755" s="110">
        <v>65500</v>
      </c>
      <c r="E1755" s="110">
        <v>65500</v>
      </c>
      <c r="F1755" s="110">
        <v>65500</v>
      </c>
      <c r="G1755" s="110">
        <v>65500</v>
      </c>
      <c r="I1755" s="110">
        <v>60670</v>
      </c>
      <c r="J1755" s="110">
        <v>61006</v>
      </c>
      <c r="K1755" s="110">
        <v>61006</v>
      </c>
      <c r="L1755" s="110">
        <v>61301</v>
      </c>
    </row>
    <row r="1756" spans="1:12" x14ac:dyDescent="0.2">
      <c r="A1756" t="s">
        <v>44</v>
      </c>
      <c r="B1756" t="s">
        <v>70</v>
      </c>
      <c r="C1756" t="s">
        <v>192</v>
      </c>
      <c r="D1756" s="110">
        <v>72185</v>
      </c>
      <c r="E1756" s="110">
        <v>71787</v>
      </c>
      <c r="F1756" s="110">
        <v>71390</v>
      </c>
      <c r="I1756" s="110">
        <v>67346</v>
      </c>
      <c r="J1756" s="110">
        <v>67926</v>
      </c>
      <c r="K1756" s="110">
        <v>67926</v>
      </c>
    </row>
    <row r="1757" spans="1:12" x14ac:dyDescent="0.2">
      <c r="A1757" t="s">
        <v>44</v>
      </c>
      <c r="B1757" t="s">
        <v>70</v>
      </c>
      <c r="C1757" t="s">
        <v>193</v>
      </c>
      <c r="D1757" s="110">
        <v>78073</v>
      </c>
      <c r="E1757" s="110">
        <v>76143</v>
      </c>
      <c r="I1757" s="110">
        <v>70802</v>
      </c>
      <c r="J1757" s="110">
        <v>71224</v>
      </c>
    </row>
    <row r="1758" spans="1:12" x14ac:dyDescent="0.2">
      <c r="A1758" t="s">
        <v>44</v>
      </c>
      <c r="B1758" t="s">
        <v>70</v>
      </c>
      <c r="C1758" t="s">
        <v>194</v>
      </c>
      <c r="D1758" s="110">
        <v>79620</v>
      </c>
      <c r="I1758" s="110">
        <v>59026</v>
      </c>
    </row>
    <row r="1759" spans="1:12" x14ac:dyDescent="0.2">
      <c r="A1759" t="s">
        <v>44</v>
      </c>
      <c r="B1759" t="s">
        <v>110</v>
      </c>
      <c r="C1759" t="s">
        <v>191</v>
      </c>
      <c r="D1759" s="110">
        <v>833830</v>
      </c>
      <c r="E1759" s="110">
        <v>706020</v>
      </c>
      <c r="F1759" s="110">
        <v>669566</v>
      </c>
      <c r="G1759" s="110">
        <v>666343</v>
      </c>
      <c r="I1759" s="110">
        <v>326359</v>
      </c>
      <c r="J1759" s="110">
        <v>509870</v>
      </c>
      <c r="K1759" s="110">
        <v>555920</v>
      </c>
      <c r="L1759" s="110">
        <v>567462</v>
      </c>
    </row>
    <row r="1760" spans="1:12" x14ac:dyDescent="0.2">
      <c r="A1760" t="s">
        <v>44</v>
      </c>
      <c r="B1760" t="s">
        <v>110</v>
      </c>
      <c r="C1760" t="s">
        <v>192</v>
      </c>
      <c r="D1760" s="110">
        <v>982533</v>
      </c>
      <c r="E1760" s="110">
        <v>814397</v>
      </c>
      <c r="F1760" s="110">
        <v>772970</v>
      </c>
      <c r="I1760" s="110">
        <v>429266</v>
      </c>
      <c r="J1760" s="110">
        <v>620944</v>
      </c>
      <c r="K1760" s="110">
        <v>655263</v>
      </c>
    </row>
    <row r="1761" spans="1:12" x14ac:dyDescent="0.2">
      <c r="A1761" t="s">
        <v>44</v>
      </c>
      <c r="B1761" t="s">
        <v>110</v>
      </c>
      <c r="C1761" t="s">
        <v>193</v>
      </c>
      <c r="D1761" s="110">
        <v>977630</v>
      </c>
      <c r="E1761" s="110">
        <v>812979</v>
      </c>
      <c r="I1761" s="110">
        <v>400904</v>
      </c>
      <c r="J1761" s="110">
        <v>593415</v>
      </c>
    </row>
    <row r="1762" spans="1:12" x14ac:dyDescent="0.2">
      <c r="A1762" t="s">
        <v>44</v>
      </c>
      <c r="B1762" t="s">
        <v>110</v>
      </c>
      <c r="C1762" t="s">
        <v>194</v>
      </c>
      <c r="D1762" s="110">
        <v>1092847</v>
      </c>
      <c r="I1762" s="110">
        <v>429116</v>
      </c>
    </row>
    <row r="1763" spans="1:12" x14ac:dyDescent="0.2">
      <c r="A1763" t="s">
        <v>45</v>
      </c>
      <c r="B1763" t="s">
        <v>104</v>
      </c>
      <c r="C1763" t="s">
        <v>191</v>
      </c>
      <c r="D1763" s="110">
        <v>122845.5</v>
      </c>
      <c r="E1763" s="110">
        <v>138130.5</v>
      </c>
      <c r="F1763" s="110">
        <v>138950.5</v>
      </c>
      <c r="G1763" s="110">
        <v>138950.5</v>
      </c>
      <c r="I1763" s="110">
        <v>5893.26</v>
      </c>
      <c r="J1763" s="110">
        <v>12872.82</v>
      </c>
      <c r="K1763" s="110">
        <v>16237.7</v>
      </c>
      <c r="L1763" s="110">
        <v>19089.740000000002</v>
      </c>
    </row>
    <row r="1764" spans="1:12" x14ac:dyDescent="0.2">
      <c r="A1764" t="s">
        <v>45</v>
      </c>
      <c r="B1764" t="s">
        <v>104</v>
      </c>
      <c r="C1764" t="s">
        <v>192</v>
      </c>
      <c r="D1764" s="110">
        <v>98973</v>
      </c>
      <c r="E1764" s="110">
        <v>101563</v>
      </c>
      <c r="F1764" s="110">
        <v>101566.5</v>
      </c>
      <c r="I1764" s="110">
        <v>1725.33</v>
      </c>
      <c r="J1764" s="110">
        <v>5822.79</v>
      </c>
      <c r="K1764" s="110">
        <v>6635.01</v>
      </c>
    </row>
    <row r="1765" spans="1:12" x14ac:dyDescent="0.2">
      <c r="A1765" t="s">
        <v>45</v>
      </c>
      <c r="B1765" t="s">
        <v>104</v>
      </c>
      <c r="C1765" t="s">
        <v>193</v>
      </c>
      <c r="D1765" s="110">
        <v>204823.5</v>
      </c>
      <c r="E1765" s="110">
        <v>205391.5</v>
      </c>
      <c r="I1765" s="110">
        <v>4907.0600000000004</v>
      </c>
      <c r="J1765" s="110">
        <v>9387.15</v>
      </c>
    </row>
    <row r="1766" spans="1:12" x14ac:dyDescent="0.2">
      <c r="A1766" t="s">
        <v>45</v>
      </c>
      <c r="B1766" t="s">
        <v>104</v>
      </c>
      <c r="C1766" t="s">
        <v>194</v>
      </c>
      <c r="D1766" s="110">
        <v>128256.5</v>
      </c>
      <c r="I1766" s="110">
        <v>2041.66</v>
      </c>
    </row>
    <row r="1767" spans="1:12" x14ac:dyDescent="0.2">
      <c r="A1767" t="s">
        <v>45</v>
      </c>
      <c r="B1767" t="s">
        <v>140</v>
      </c>
      <c r="C1767" t="s">
        <v>191</v>
      </c>
      <c r="F1767" s="110">
        <v>50568</v>
      </c>
      <c r="G1767" s="110">
        <v>50568</v>
      </c>
    </row>
    <row r="1768" spans="1:12" x14ac:dyDescent="0.2">
      <c r="A1768" t="s">
        <v>45</v>
      </c>
      <c r="B1768" t="s">
        <v>140</v>
      </c>
      <c r="C1768" t="s">
        <v>192</v>
      </c>
    </row>
    <row r="1769" spans="1:12" x14ac:dyDescent="0.2">
      <c r="A1769" t="s">
        <v>45</v>
      </c>
      <c r="B1769" t="s">
        <v>140</v>
      </c>
      <c r="C1769" t="s">
        <v>193</v>
      </c>
      <c r="D1769" s="110">
        <v>101136</v>
      </c>
      <c r="E1769" s="110">
        <v>101136</v>
      </c>
    </row>
    <row r="1770" spans="1:12" x14ac:dyDescent="0.2">
      <c r="A1770" t="s">
        <v>45</v>
      </c>
      <c r="B1770" t="s">
        <v>140</v>
      </c>
      <c r="C1770" t="s">
        <v>194</v>
      </c>
      <c r="D1770" s="110">
        <v>50568</v>
      </c>
    </row>
    <row r="1771" spans="1:12" x14ac:dyDescent="0.2">
      <c r="A1771" t="s">
        <v>45</v>
      </c>
      <c r="B1771" t="s">
        <v>105</v>
      </c>
      <c r="C1771" t="s">
        <v>191</v>
      </c>
      <c r="D1771" s="110">
        <v>68005.5</v>
      </c>
      <c r="E1771" s="110">
        <v>68430.58</v>
      </c>
      <c r="F1771" s="110">
        <v>68933.58</v>
      </c>
      <c r="G1771" s="110">
        <v>68933.58</v>
      </c>
      <c r="I1771" s="110">
        <v>11397.5</v>
      </c>
      <c r="J1771" s="110">
        <v>19802.580000000002</v>
      </c>
      <c r="K1771" s="110">
        <v>32785.08</v>
      </c>
      <c r="L1771" s="110">
        <v>35054.22</v>
      </c>
    </row>
    <row r="1772" spans="1:12" x14ac:dyDescent="0.2">
      <c r="A1772" t="s">
        <v>45</v>
      </c>
      <c r="B1772" t="s">
        <v>105</v>
      </c>
      <c r="C1772" t="s">
        <v>192</v>
      </c>
      <c r="D1772" s="110">
        <v>57477</v>
      </c>
      <c r="E1772" s="110">
        <v>58490</v>
      </c>
      <c r="F1772" s="110">
        <v>58713</v>
      </c>
      <c r="I1772" s="110">
        <v>10359.02</v>
      </c>
      <c r="J1772" s="110">
        <v>19991.02</v>
      </c>
      <c r="K1772" s="110">
        <v>27106.02</v>
      </c>
    </row>
    <row r="1773" spans="1:12" x14ac:dyDescent="0.2">
      <c r="A1773" t="s">
        <v>45</v>
      </c>
      <c r="B1773" t="s">
        <v>105</v>
      </c>
      <c r="C1773" t="s">
        <v>193</v>
      </c>
      <c r="D1773" s="110">
        <v>86227</v>
      </c>
      <c r="E1773" s="110">
        <v>86492</v>
      </c>
      <c r="I1773" s="110">
        <v>28879.5</v>
      </c>
      <c r="J1773" s="110">
        <v>37892</v>
      </c>
    </row>
    <row r="1774" spans="1:12" x14ac:dyDescent="0.2">
      <c r="A1774" t="s">
        <v>45</v>
      </c>
      <c r="B1774" t="s">
        <v>105</v>
      </c>
      <c r="C1774" t="s">
        <v>194</v>
      </c>
      <c r="D1774" s="110">
        <v>82362</v>
      </c>
      <c r="I1774" s="110">
        <v>34914</v>
      </c>
    </row>
    <row r="1775" spans="1:12" x14ac:dyDescent="0.2">
      <c r="A1775" t="s">
        <v>45</v>
      </c>
      <c r="B1775" t="s">
        <v>111</v>
      </c>
      <c r="C1775" t="s">
        <v>191</v>
      </c>
      <c r="D1775" s="110">
        <v>3152</v>
      </c>
      <c r="E1775" s="110">
        <v>3152</v>
      </c>
      <c r="F1775" s="110">
        <v>3152</v>
      </c>
      <c r="G1775" s="110">
        <v>3152</v>
      </c>
      <c r="I1775" s="110">
        <v>104</v>
      </c>
      <c r="J1775" s="110">
        <v>866</v>
      </c>
      <c r="K1775" s="110">
        <v>866</v>
      </c>
      <c r="L1775" s="110">
        <v>866</v>
      </c>
    </row>
    <row r="1776" spans="1:12" x14ac:dyDescent="0.2">
      <c r="A1776" t="s">
        <v>45</v>
      </c>
      <c r="B1776" t="s">
        <v>111</v>
      </c>
      <c r="C1776" t="s">
        <v>192</v>
      </c>
      <c r="D1776" s="110">
        <v>1534</v>
      </c>
      <c r="E1776" s="110">
        <v>1584</v>
      </c>
      <c r="F1776" s="110">
        <v>1772</v>
      </c>
      <c r="I1776" s="110">
        <v>426</v>
      </c>
      <c r="J1776" s="110">
        <v>426</v>
      </c>
      <c r="K1776" s="110">
        <v>654</v>
      </c>
    </row>
    <row r="1777" spans="1:12" x14ac:dyDescent="0.2">
      <c r="A1777" t="s">
        <v>45</v>
      </c>
      <c r="B1777" t="s">
        <v>111</v>
      </c>
      <c r="C1777" t="s">
        <v>193</v>
      </c>
      <c r="D1777" s="110">
        <v>3679.86</v>
      </c>
      <c r="E1777" s="110">
        <v>3629.86</v>
      </c>
      <c r="I1777" s="110">
        <v>251</v>
      </c>
      <c r="J1777" s="110">
        <v>1003</v>
      </c>
    </row>
    <row r="1778" spans="1:12" x14ac:dyDescent="0.2">
      <c r="A1778" t="s">
        <v>45</v>
      </c>
      <c r="B1778" t="s">
        <v>111</v>
      </c>
      <c r="C1778" t="s">
        <v>194</v>
      </c>
      <c r="D1778" s="110">
        <v>1744</v>
      </c>
      <c r="I1778" s="110">
        <v>12</v>
      </c>
    </row>
    <row r="1779" spans="1:12" x14ac:dyDescent="0.2">
      <c r="A1779" t="s">
        <v>45</v>
      </c>
      <c r="B1779" t="s">
        <v>109</v>
      </c>
      <c r="C1779" t="s">
        <v>191</v>
      </c>
      <c r="D1779" s="110">
        <v>100065.5</v>
      </c>
      <c r="E1779" s="110">
        <v>99624.5</v>
      </c>
      <c r="F1779" s="110">
        <v>99624.5</v>
      </c>
      <c r="G1779" s="110">
        <v>99624.5</v>
      </c>
      <c r="I1779" s="110">
        <v>12395.5</v>
      </c>
      <c r="J1779" s="110">
        <v>32752.5</v>
      </c>
      <c r="K1779" s="110">
        <v>49695.5</v>
      </c>
      <c r="L1779" s="110">
        <v>59472.78</v>
      </c>
    </row>
    <row r="1780" spans="1:12" x14ac:dyDescent="0.2">
      <c r="A1780" t="s">
        <v>45</v>
      </c>
      <c r="B1780" t="s">
        <v>109</v>
      </c>
      <c r="C1780" t="s">
        <v>192</v>
      </c>
      <c r="D1780" s="110">
        <v>107943.5</v>
      </c>
      <c r="E1780" s="110">
        <v>108419.5</v>
      </c>
      <c r="F1780" s="110">
        <v>108757.5</v>
      </c>
      <c r="I1780" s="110">
        <v>11320.5</v>
      </c>
      <c r="J1780" s="110">
        <v>36872.5</v>
      </c>
      <c r="K1780" s="110">
        <v>53134.5</v>
      </c>
    </row>
    <row r="1781" spans="1:12" x14ac:dyDescent="0.2">
      <c r="A1781" t="s">
        <v>45</v>
      </c>
      <c r="B1781" t="s">
        <v>109</v>
      </c>
      <c r="C1781" t="s">
        <v>193</v>
      </c>
      <c r="D1781" s="110">
        <v>122261.5</v>
      </c>
      <c r="E1781" s="110">
        <v>122810.5</v>
      </c>
      <c r="I1781" s="110">
        <v>23614.5</v>
      </c>
      <c r="J1781" s="110">
        <v>46943.5</v>
      </c>
    </row>
    <row r="1782" spans="1:12" x14ac:dyDescent="0.2">
      <c r="A1782" t="s">
        <v>45</v>
      </c>
      <c r="B1782" t="s">
        <v>109</v>
      </c>
      <c r="C1782" t="s">
        <v>194</v>
      </c>
      <c r="D1782" s="110">
        <v>173707.5</v>
      </c>
      <c r="I1782" s="110">
        <v>24231.5</v>
      </c>
    </row>
    <row r="1783" spans="1:12" x14ac:dyDescent="0.2">
      <c r="A1783" t="s">
        <v>45</v>
      </c>
      <c r="B1783" t="s">
        <v>106</v>
      </c>
      <c r="C1783" t="s">
        <v>191</v>
      </c>
      <c r="D1783" s="110">
        <v>69668</v>
      </c>
      <c r="E1783" s="110">
        <v>69668</v>
      </c>
      <c r="F1783" s="110">
        <v>69668</v>
      </c>
      <c r="G1783" s="110">
        <v>69668</v>
      </c>
      <c r="I1783" s="110">
        <v>67841.5</v>
      </c>
      <c r="J1783" s="110">
        <v>69381.5</v>
      </c>
      <c r="K1783" s="110">
        <v>69381.5</v>
      </c>
      <c r="L1783" s="110">
        <v>69381.5</v>
      </c>
    </row>
    <row r="1784" spans="1:12" x14ac:dyDescent="0.2">
      <c r="A1784" t="s">
        <v>45</v>
      </c>
      <c r="B1784" t="s">
        <v>106</v>
      </c>
      <c r="C1784" t="s">
        <v>192</v>
      </c>
      <c r="D1784" s="110">
        <v>95949.5</v>
      </c>
      <c r="E1784" s="110">
        <v>95949.5</v>
      </c>
      <c r="F1784" s="110">
        <v>95949.5</v>
      </c>
      <c r="I1784" s="110">
        <v>87954.5</v>
      </c>
      <c r="J1784" s="110">
        <v>95799.5</v>
      </c>
      <c r="K1784" s="110">
        <v>95799.5</v>
      </c>
    </row>
    <row r="1785" spans="1:12" x14ac:dyDescent="0.2">
      <c r="A1785" t="s">
        <v>45</v>
      </c>
      <c r="B1785" t="s">
        <v>106</v>
      </c>
      <c r="C1785" t="s">
        <v>193</v>
      </c>
      <c r="D1785" s="110">
        <v>137650.82999999999</v>
      </c>
      <c r="E1785" s="110">
        <v>137650.82999999999</v>
      </c>
      <c r="I1785" s="110">
        <v>130980.83</v>
      </c>
      <c r="J1785" s="110">
        <v>137600.82999999999</v>
      </c>
    </row>
    <row r="1786" spans="1:12" x14ac:dyDescent="0.2">
      <c r="A1786" t="s">
        <v>45</v>
      </c>
      <c r="B1786" t="s">
        <v>106</v>
      </c>
      <c r="C1786" t="s">
        <v>194</v>
      </c>
      <c r="D1786" s="110">
        <v>112179.77</v>
      </c>
      <c r="I1786" s="110">
        <v>107777.83</v>
      </c>
    </row>
    <row r="1787" spans="1:12" x14ac:dyDescent="0.2">
      <c r="A1787" t="s">
        <v>45</v>
      </c>
      <c r="B1787" t="s">
        <v>107</v>
      </c>
      <c r="C1787" t="s">
        <v>191</v>
      </c>
      <c r="D1787" s="110">
        <v>60286.62</v>
      </c>
      <c r="E1787" s="110">
        <v>60286.62</v>
      </c>
      <c r="F1787" s="110">
        <v>60286.62</v>
      </c>
      <c r="G1787" s="110">
        <v>60286.62</v>
      </c>
      <c r="I1787" s="110">
        <v>59411</v>
      </c>
      <c r="J1787" s="110">
        <v>60286.62</v>
      </c>
      <c r="K1787" s="110">
        <v>60286.62</v>
      </c>
      <c r="L1787" s="110">
        <v>60286.62</v>
      </c>
    </row>
    <row r="1788" spans="1:12" x14ac:dyDescent="0.2">
      <c r="A1788" t="s">
        <v>45</v>
      </c>
      <c r="B1788" t="s">
        <v>107</v>
      </c>
      <c r="C1788" t="s">
        <v>192</v>
      </c>
      <c r="D1788" s="110">
        <v>59133.29</v>
      </c>
      <c r="E1788" s="110">
        <v>59133.29</v>
      </c>
      <c r="F1788" s="110">
        <v>59133.29</v>
      </c>
      <c r="I1788" s="110">
        <v>54256.29</v>
      </c>
      <c r="J1788" s="110">
        <v>59133.29</v>
      </c>
      <c r="K1788" s="110">
        <v>59133.29</v>
      </c>
    </row>
    <row r="1789" spans="1:12" x14ac:dyDescent="0.2">
      <c r="A1789" t="s">
        <v>45</v>
      </c>
      <c r="B1789" t="s">
        <v>107</v>
      </c>
      <c r="C1789" t="s">
        <v>193</v>
      </c>
      <c r="D1789" s="110">
        <v>56892.01</v>
      </c>
      <c r="E1789" s="110">
        <v>56892.01</v>
      </c>
      <c r="I1789" s="110">
        <v>54807.01</v>
      </c>
      <c r="J1789" s="110">
        <v>56892.01</v>
      </c>
    </row>
    <row r="1790" spans="1:12" x14ac:dyDescent="0.2">
      <c r="A1790" t="s">
        <v>45</v>
      </c>
      <c r="B1790" t="s">
        <v>107</v>
      </c>
      <c r="C1790" t="s">
        <v>194</v>
      </c>
      <c r="D1790" s="110">
        <v>77923.3</v>
      </c>
      <c r="I1790" s="110">
        <v>76103.3</v>
      </c>
    </row>
    <row r="1791" spans="1:12" x14ac:dyDescent="0.2">
      <c r="A1791" t="s">
        <v>45</v>
      </c>
      <c r="B1791" t="s">
        <v>108</v>
      </c>
      <c r="C1791" t="s">
        <v>191</v>
      </c>
      <c r="D1791" s="110">
        <v>31675.79</v>
      </c>
      <c r="E1791" s="110">
        <v>31675.79</v>
      </c>
      <c r="F1791" s="110">
        <v>31675.79</v>
      </c>
      <c r="G1791" s="110">
        <v>31675.79</v>
      </c>
      <c r="I1791" s="110">
        <v>31274.79</v>
      </c>
      <c r="J1791" s="110">
        <v>31674.79</v>
      </c>
      <c r="K1791" s="110">
        <v>31674.79</v>
      </c>
      <c r="L1791" s="110">
        <v>31674.79</v>
      </c>
    </row>
    <row r="1792" spans="1:12" x14ac:dyDescent="0.2">
      <c r="A1792" t="s">
        <v>45</v>
      </c>
      <c r="B1792" t="s">
        <v>108</v>
      </c>
      <c r="C1792" t="s">
        <v>192</v>
      </c>
      <c r="D1792" s="110">
        <v>32456</v>
      </c>
      <c r="E1792" s="110">
        <v>32456</v>
      </c>
      <c r="F1792" s="110">
        <v>32456</v>
      </c>
      <c r="I1792" s="110">
        <v>31249</v>
      </c>
      <c r="J1792" s="110">
        <v>31994</v>
      </c>
      <c r="K1792" s="110">
        <v>31994</v>
      </c>
    </row>
    <row r="1793" spans="1:12" x14ac:dyDescent="0.2">
      <c r="A1793" t="s">
        <v>45</v>
      </c>
      <c r="B1793" t="s">
        <v>108</v>
      </c>
      <c r="C1793" t="s">
        <v>193</v>
      </c>
      <c r="D1793" s="110">
        <v>39305</v>
      </c>
      <c r="E1793" s="110">
        <v>39258</v>
      </c>
      <c r="I1793" s="110">
        <v>38864</v>
      </c>
      <c r="J1793" s="110">
        <v>39253</v>
      </c>
    </row>
    <row r="1794" spans="1:12" x14ac:dyDescent="0.2">
      <c r="A1794" t="s">
        <v>45</v>
      </c>
      <c r="B1794" t="s">
        <v>108</v>
      </c>
      <c r="C1794" t="s">
        <v>194</v>
      </c>
      <c r="D1794" s="110">
        <v>26961</v>
      </c>
      <c r="I1794" s="110">
        <v>24629</v>
      </c>
    </row>
    <row r="1795" spans="1:12" x14ac:dyDescent="0.2">
      <c r="A1795" t="s">
        <v>45</v>
      </c>
      <c r="B1795" t="s">
        <v>70</v>
      </c>
      <c r="C1795" t="s">
        <v>191</v>
      </c>
      <c r="D1795" s="110">
        <v>45335.32</v>
      </c>
      <c r="E1795" s="110">
        <v>45562.82</v>
      </c>
      <c r="F1795" s="110">
        <v>45562.82</v>
      </c>
      <c r="G1795" s="110">
        <v>45562.82</v>
      </c>
      <c r="I1795" s="110">
        <v>43561.51</v>
      </c>
      <c r="J1795" s="110">
        <v>44412.01</v>
      </c>
      <c r="K1795" s="110">
        <v>44525.82</v>
      </c>
      <c r="L1795" s="110">
        <v>44525.82</v>
      </c>
    </row>
    <row r="1796" spans="1:12" x14ac:dyDescent="0.2">
      <c r="A1796" t="s">
        <v>45</v>
      </c>
      <c r="B1796" t="s">
        <v>70</v>
      </c>
      <c r="C1796" t="s">
        <v>192</v>
      </c>
      <c r="D1796" s="110">
        <v>40998.14</v>
      </c>
      <c r="E1796" s="110">
        <v>40998.14</v>
      </c>
      <c r="F1796" s="110">
        <v>40998.14</v>
      </c>
      <c r="I1796" s="110">
        <v>37004.69</v>
      </c>
      <c r="J1796" s="110">
        <v>38772.559999999998</v>
      </c>
      <c r="K1796" s="110">
        <v>38955.06</v>
      </c>
    </row>
    <row r="1797" spans="1:12" x14ac:dyDescent="0.2">
      <c r="A1797" t="s">
        <v>45</v>
      </c>
      <c r="B1797" t="s">
        <v>70</v>
      </c>
      <c r="C1797" t="s">
        <v>193</v>
      </c>
      <c r="D1797" s="110">
        <v>53581.26</v>
      </c>
      <c r="E1797" s="110">
        <v>53584.26</v>
      </c>
      <c r="I1797" s="110">
        <v>49731.29</v>
      </c>
      <c r="J1797" s="110">
        <v>51913.79</v>
      </c>
    </row>
    <row r="1798" spans="1:12" x14ac:dyDescent="0.2">
      <c r="A1798" t="s">
        <v>45</v>
      </c>
      <c r="B1798" t="s">
        <v>70</v>
      </c>
      <c r="C1798" t="s">
        <v>194</v>
      </c>
      <c r="D1798" s="110">
        <v>55911.18</v>
      </c>
      <c r="I1798" s="110">
        <v>51480.98</v>
      </c>
    </row>
    <row r="1799" spans="1:12" x14ac:dyDescent="0.2">
      <c r="A1799" t="s">
        <v>45</v>
      </c>
      <c r="B1799" t="s">
        <v>110</v>
      </c>
      <c r="C1799" t="s">
        <v>191</v>
      </c>
      <c r="D1799" s="110">
        <v>319659.5</v>
      </c>
      <c r="E1799" s="110">
        <v>295900.75</v>
      </c>
      <c r="F1799" s="110">
        <v>291001.25</v>
      </c>
      <c r="G1799" s="110">
        <v>290709.25</v>
      </c>
      <c r="I1799" s="110">
        <v>150072.5</v>
      </c>
      <c r="J1799" s="110">
        <v>236377.04</v>
      </c>
      <c r="K1799" s="110">
        <v>249892.25</v>
      </c>
      <c r="L1799" s="110">
        <v>253568.25</v>
      </c>
    </row>
    <row r="1800" spans="1:12" x14ac:dyDescent="0.2">
      <c r="A1800" t="s">
        <v>45</v>
      </c>
      <c r="B1800" t="s">
        <v>110</v>
      </c>
      <c r="C1800" t="s">
        <v>192</v>
      </c>
      <c r="D1800" s="110">
        <v>341318.40000000002</v>
      </c>
      <c r="E1800" s="110">
        <v>313247.3</v>
      </c>
      <c r="F1800" s="110">
        <v>310151.3</v>
      </c>
      <c r="I1800" s="110">
        <v>164384.15</v>
      </c>
      <c r="J1800" s="110">
        <v>256093.8</v>
      </c>
      <c r="K1800" s="110">
        <v>270556.3</v>
      </c>
    </row>
    <row r="1801" spans="1:12" x14ac:dyDescent="0.2">
      <c r="A1801" t="s">
        <v>45</v>
      </c>
      <c r="B1801" t="s">
        <v>110</v>
      </c>
      <c r="C1801" t="s">
        <v>193</v>
      </c>
      <c r="D1801" s="110">
        <v>353648.25</v>
      </c>
      <c r="E1801" s="110">
        <v>331734.25</v>
      </c>
      <c r="I1801" s="110">
        <v>167121.75</v>
      </c>
      <c r="J1801" s="110">
        <v>266102.75</v>
      </c>
    </row>
    <row r="1802" spans="1:12" x14ac:dyDescent="0.2">
      <c r="A1802" t="s">
        <v>45</v>
      </c>
      <c r="B1802" t="s">
        <v>110</v>
      </c>
      <c r="C1802" t="s">
        <v>194</v>
      </c>
      <c r="D1802" s="110">
        <v>278937.5</v>
      </c>
      <c r="I1802" s="110">
        <v>112351.5</v>
      </c>
    </row>
    <row r="1803" spans="1:12" x14ac:dyDescent="0.2">
      <c r="A1803" t="s">
        <v>46</v>
      </c>
      <c r="B1803" t="s">
        <v>104</v>
      </c>
      <c r="C1803" t="s">
        <v>191</v>
      </c>
      <c r="D1803" s="110">
        <v>1024151.59</v>
      </c>
      <c r="E1803" s="110">
        <v>1024306.59</v>
      </c>
      <c r="F1803" s="110">
        <v>1024306.59</v>
      </c>
      <c r="G1803" s="110">
        <v>1024456.59</v>
      </c>
      <c r="I1803" s="110">
        <v>25080.49</v>
      </c>
      <c r="J1803" s="110">
        <v>46859.42</v>
      </c>
      <c r="K1803" s="110">
        <v>67480.12</v>
      </c>
      <c r="L1803" s="110">
        <v>92656.36</v>
      </c>
    </row>
    <row r="1804" spans="1:12" x14ac:dyDescent="0.2">
      <c r="A1804" t="s">
        <v>46</v>
      </c>
      <c r="B1804" t="s">
        <v>104</v>
      </c>
      <c r="C1804" t="s">
        <v>192</v>
      </c>
      <c r="D1804" s="110">
        <v>768763.97</v>
      </c>
      <c r="E1804" s="110">
        <v>769470.97</v>
      </c>
      <c r="F1804" s="110">
        <v>769409.26</v>
      </c>
      <c r="I1804" s="110">
        <v>23179.05</v>
      </c>
      <c r="J1804" s="110">
        <v>45102.68</v>
      </c>
      <c r="K1804" s="110">
        <v>60201.84</v>
      </c>
    </row>
    <row r="1805" spans="1:12" x14ac:dyDescent="0.2">
      <c r="A1805" t="s">
        <v>46</v>
      </c>
      <c r="B1805" t="s">
        <v>104</v>
      </c>
      <c r="C1805" t="s">
        <v>193</v>
      </c>
      <c r="D1805" s="110">
        <v>755351.5</v>
      </c>
      <c r="E1805" s="110">
        <v>756313.22</v>
      </c>
      <c r="I1805" s="110">
        <v>27429.63</v>
      </c>
      <c r="J1805" s="110">
        <v>49154.9</v>
      </c>
    </row>
    <row r="1806" spans="1:12" x14ac:dyDescent="0.2">
      <c r="A1806" t="s">
        <v>46</v>
      </c>
      <c r="B1806" t="s">
        <v>104</v>
      </c>
      <c r="C1806" t="s">
        <v>194</v>
      </c>
      <c r="D1806" s="110">
        <v>738007.22</v>
      </c>
      <c r="I1806" s="110">
        <v>30558.65</v>
      </c>
    </row>
    <row r="1807" spans="1:12" x14ac:dyDescent="0.2">
      <c r="A1807" t="s">
        <v>46</v>
      </c>
      <c r="B1807" t="s">
        <v>140</v>
      </c>
      <c r="C1807" t="s">
        <v>191</v>
      </c>
      <c r="D1807" s="110">
        <v>266476</v>
      </c>
      <c r="E1807" s="110">
        <v>266476</v>
      </c>
      <c r="F1807" s="110">
        <v>266476</v>
      </c>
      <c r="G1807" s="110">
        <v>266476</v>
      </c>
    </row>
    <row r="1808" spans="1:12" x14ac:dyDescent="0.2">
      <c r="A1808" t="s">
        <v>46</v>
      </c>
      <c r="B1808" t="s">
        <v>140</v>
      </c>
      <c r="C1808" t="s">
        <v>192</v>
      </c>
      <c r="D1808" s="110">
        <v>53122</v>
      </c>
      <c r="E1808" s="110">
        <v>53122</v>
      </c>
      <c r="F1808" s="110">
        <v>53172</v>
      </c>
    </row>
    <row r="1809" spans="1:12" x14ac:dyDescent="0.2">
      <c r="A1809" t="s">
        <v>46</v>
      </c>
      <c r="B1809" t="s">
        <v>140</v>
      </c>
      <c r="C1809" t="s">
        <v>193</v>
      </c>
      <c r="D1809" s="110">
        <v>107527</v>
      </c>
      <c r="E1809" s="110">
        <v>107527</v>
      </c>
    </row>
    <row r="1810" spans="1:12" x14ac:dyDescent="0.2">
      <c r="A1810" t="s">
        <v>46</v>
      </c>
      <c r="B1810" t="s">
        <v>140</v>
      </c>
      <c r="C1810" t="s">
        <v>194</v>
      </c>
      <c r="D1810" s="110">
        <v>159984</v>
      </c>
    </row>
    <row r="1811" spans="1:12" x14ac:dyDescent="0.2">
      <c r="A1811" t="s">
        <v>46</v>
      </c>
      <c r="B1811" t="s">
        <v>105</v>
      </c>
      <c r="C1811" t="s">
        <v>191</v>
      </c>
      <c r="D1811" s="110">
        <v>358390.14</v>
      </c>
      <c r="E1811" s="110">
        <v>358018.14</v>
      </c>
      <c r="F1811" s="110">
        <v>358118.14</v>
      </c>
      <c r="G1811" s="110">
        <v>358249.14</v>
      </c>
      <c r="I1811" s="110">
        <v>75391.820000000007</v>
      </c>
      <c r="J1811" s="110">
        <v>127072.71</v>
      </c>
      <c r="K1811" s="110">
        <v>151999.25</v>
      </c>
      <c r="L1811" s="110">
        <v>167264.01999999999</v>
      </c>
    </row>
    <row r="1812" spans="1:12" x14ac:dyDescent="0.2">
      <c r="A1812" t="s">
        <v>46</v>
      </c>
      <c r="B1812" t="s">
        <v>105</v>
      </c>
      <c r="C1812" t="s">
        <v>192</v>
      </c>
      <c r="D1812" s="110">
        <v>384598.19</v>
      </c>
      <c r="E1812" s="110">
        <v>384535.19</v>
      </c>
      <c r="F1812" s="110">
        <v>384380.19</v>
      </c>
      <c r="I1812" s="110">
        <v>118682.41</v>
      </c>
      <c r="J1812" s="110">
        <v>159511.54</v>
      </c>
      <c r="K1812" s="110">
        <v>180831.98</v>
      </c>
    </row>
    <row r="1813" spans="1:12" x14ac:dyDescent="0.2">
      <c r="A1813" t="s">
        <v>46</v>
      </c>
      <c r="B1813" t="s">
        <v>105</v>
      </c>
      <c r="C1813" t="s">
        <v>193</v>
      </c>
      <c r="D1813" s="110">
        <v>496548.9</v>
      </c>
      <c r="E1813" s="110">
        <v>493276.2</v>
      </c>
      <c r="I1813" s="110">
        <v>157217.85</v>
      </c>
      <c r="J1813" s="110">
        <v>216733.58</v>
      </c>
    </row>
    <row r="1814" spans="1:12" x14ac:dyDescent="0.2">
      <c r="A1814" t="s">
        <v>46</v>
      </c>
      <c r="B1814" t="s">
        <v>105</v>
      </c>
      <c r="C1814" t="s">
        <v>194</v>
      </c>
      <c r="D1814" s="110">
        <v>531710.88</v>
      </c>
      <c r="I1814" s="110">
        <v>152858.79</v>
      </c>
    </row>
    <row r="1815" spans="1:12" x14ac:dyDescent="0.2">
      <c r="A1815" t="s">
        <v>46</v>
      </c>
      <c r="B1815" t="s">
        <v>111</v>
      </c>
      <c r="C1815" t="s">
        <v>191</v>
      </c>
      <c r="D1815" s="110">
        <v>23715</v>
      </c>
      <c r="E1815" s="110">
        <v>23715</v>
      </c>
      <c r="F1815" s="110">
        <v>23665</v>
      </c>
      <c r="G1815" s="110">
        <v>23665</v>
      </c>
      <c r="I1815" s="110">
        <v>957.5</v>
      </c>
      <c r="J1815" s="110">
        <v>1087.5</v>
      </c>
      <c r="K1815" s="110">
        <v>1821.52</v>
      </c>
      <c r="L1815" s="110">
        <v>2380.02</v>
      </c>
    </row>
    <row r="1816" spans="1:12" x14ac:dyDescent="0.2">
      <c r="A1816" t="s">
        <v>46</v>
      </c>
      <c r="B1816" t="s">
        <v>111</v>
      </c>
      <c r="C1816" t="s">
        <v>192</v>
      </c>
      <c r="D1816" s="110">
        <v>29803.5</v>
      </c>
      <c r="E1816" s="110">
        <v>29403.5</v>
      </c>
      <c r="F1816" s="110">
        <v>29353.5</v>
      </c>
      <c r="I1816" s="110">
        <v>5247.5</v>
      </c>
      <c r="J1816" s="110">
        <v>7413</v>
      </c>
      <c r="K1816" s="110">
        <v>10333</v>
      </c>
    </row>
    <row r="1817" spans="1:12" x14ac:dyDescent="0.2">
      <c r="A1817" t="s">
        <v>46</v>
      </c>
      <c r="B1817" t="s">
        <v>111</v>
      </c>
      <c r="C1817" t="s">
        <v>193</v>
      </c>
      <c r="D1817" s="110">
        <v>32461</v>
      </c>
      <c r="E1817" s="110">
        <v>32005</v>
      </c>
      <c r="I1817" s="110">
        <v>13799.45</v>
      </c>
      <c r="J1817" s="110">
        <v>17539.45</v>
      </c>
    </row>
    <row r="1818" spans="1:12" x14ac:dyDescent="0.2">
      <c r="A1818" t="s">
        <v>46</v>
      </c>
      <c r="B1818" t="s">
        <v>111</v>
      </c>
      <c r="C1818" t="s">
        <v>194</v>
      </c>
      <c r="D1818" s="110">
        <v>29990.5</v>
      </c>
      <c r="I1818" s="110">
        <v>11144.5</v>
      </c>
    </row>
    <row r="1819" spans="1:12" x14ac:dyDescent="0.2">
      <c r="A1819" t="s">
        <v>46</v>
      </c>
      <c r="B1819" t="s">
        <v>109</v>
      </c>
      <c r="C1819" t="s">
        <v>191</v>
      </c>
      <c r="D1819" s="110">
        <v>318505.40000000002</v>
      </c>
      <c r="E1819" s="110">
        <v>318732.40000000002</v>
      </c>
      <c r="F1819" s="110">
        <v>318352.40000000002</v>
      </c>
      <c r="G1819" s="110">
        <v>318352.40000000002</v>
      </c>
      <c r="I1819" s="110">
        <v>100078.61</v>
      </c>
      <c r="J1819" s="110">
        <v>155976.16</v>
      </c>
      <c r="K1819" s="110">
        <v>180077.32</v>
      </c>
      <c r="L1819" s="110">
        <v>197830.33</v>
      </c>
    </row>
    <row r="1820" spans="1:12" x14ac:dyDescent="0.2">
      <c r="A1820" t="s">
        <v>46</v>
      </c>
      <c r="B1820" t="s">
        <v>109</v>
      </c>
      <c r="C1820" t="s">
        <v>192</v>
      </c>
      <c r="D1820" s="110">
        <v>319347.57</v>
      </c>
      <c r="E1820" s="110">
        <v>319347.57</v>
      </c>
      <c r="F1820" s="110">
        <v>319217.57</v>
      </c>
      <c r="I1820" s="110">
        <v>85138.7</v>
      </c>
      <c r="J1820" s="110">
        <v>140447.35</v>
      </c>
      <c r="K1820" s="110">
        <v>177810.66</v>
      </c>
    </row>
    <row r="1821" spans="1:12" x14ac:dyDescent="0.2">
      <c r="A1821" t="s">
        <v>46</v>
      </c>
      <c r="B1821" t="s">
        <v>109</v>
      </c>
      <c r="C1821" t="s">
        <v>193</v>
      </c>
      <c r="D1821" s="110">
        <v>330090.02</v>
      </c>
      <c r="E1821" s="110">
        <v>330478.02</v>
      </c>
      <c r="I1821" s="110">
        <v>86892.3</v>
      </c>
      <c r="J1821" s="110">
        <v>146655.75</v>
      </c>
    </row>
    <row r="1822" spans="1:12" x14ac:dyDescent="0.2">
      <c r="A1822" t="s">
        <v>46</v>
      </c>
      <c r="B1822" t="s">
        <v>109</v>
      </c>
      <c r="C1822" t="s">
        <v>194</v>
      </c>
      <c r="D1822" s="110">
        <v>320306.57</v>
      </c>
      <c r="I1822" s="110">
        <v>78214.850000000006</v>
      </c>
    </row>
    <row r="1823" spans="1:12" x14ac:dyDescent="0.2">
      <c r="A1823" t="s">
        <v>46</v>
      </c>
      <c r="B1823" t="s">
        <v>106</v>
      </c>
      <c r="C1823" t="s">
        <v>191</v>
      </c>
      <c r="D1823" s="110">
        <v>339173.06</v>
      </c>
      <c r="E1823" s="110">
        <v>338893.06</v>
      </c>
      <c r="F1823" s="110">
        <v>338893.06</v>
      </c>
      <c r="G1823" s="110">
        <v>338893.06</v>
      </c>
      <c r="I1823" s="110">
        <v>336404.56</v>
      </c>
      <c r="J1823" s="110">
        <v>336527.06</v>
      </c>
      <c r="K1823" s="110">
        <v>336572.06</v>
      </c>
      <c r="L1823" s="110">
        <v>336667.06</v>
      </c>
    </row>
    <row r="1824" spans="1:12" x14ac:dyDescent="0.2">
      <c r="A1824" t="s">
        <v>46</v>
      </c>
      <c r="B1824" t="s">
        <v>106</v>
      </c>
      <c r="C1824" t="s">
        <v>192</v>
      </c>
      <c r="D1824" s="110">
        <v>333709.86</v>
      </c>
      <c r="E1824" s="110">
        <v>333759.86</v>
      </c>
      <c r="F1824" s="110">
        <v>333759.86</v>
      </c>
      <c r="I1824" s="110">
        <v>332725.36</v>
      </c>
      <c r="J1824" s="110">
        <v>332825.36</v>
      </c>
      <c r="K1824" s="110">
        <v>332825.36</v>
      </c>
    </row>
    <row r="1825" spans="1:12" x14ac:dyDescent="0.2">
      <c r="A1825" t="s">
        <v>46</v>
      </c>
      <c r="B1825" t="s">
        <v>106</v>
      </c>
      <c r="C1825" t="s">
        <v>193</v>
      </c>
      <c r="D1825" s="110">
        <v>399244.87</v>
      </c>
      <c r="E1825" s="110">
        <v>399244.87</v>
      </c>
      <c r="I1825" s="110">
        <v>395860.87</v>
      </c>
      <c r="J1825" s="110">
        <v>395910.87</v>
      </c>
    </row>
    <row r="1826" spans="1:12" x14ac:dyDescent="0.2">
      <c r="A1826" t="s">
        <v>46</v>
      </c>
      <c r="B1826" t="s">
        <v>106</v>
      </c>
      <c r="C1826" t="s">
        <v>194</v>
      </c>
      <c r="D1826" s="110">
        <v>337743.89</v>
      </c>
      <c r="I1826" s="110">
        <v>331546.39</v>
      </c>
    </row>
    <row r="1827" spans="1:12" x14ac:dyDescent="0.2">
      <c r="A1827" t="s">
        <v>46</v>
      </c>
      <c r="B1827" t="s">
        <v>107</v>
      </c>
      <c r="C1827" t="s">
        <v>191</v>
      </c>
      <c r="D1827" s="110">
        <v>191221.08</v>
      </c>
      <c r="E1827" s="110">
        <v>191221.08</v>
      </c>
      <c r="F1827" s="110">
        <v>191221.08</v>
      </c>
      <c r="G1827" s="110">
        <v>191221.08</v>
      </c>
      <c r="I1827" s="110">
        <v>190075.85</v>
      </c>
      <c r="J1827" s="110">
        <v>190169.35</v>
      </c>
      <c r="K1827" s="110">
        <v>190169.35</v>
      </c>
      <c r="L1827" s="110">
        <v>190169.35</v>
      </c>
    </row>
    <row r="1828" spans="1:12" x14ac:dyDescent="0.2">
      <c r="A1828" t="s">
        <v>46</v>
      </c>
      <c r="B1828" t="s">
        <v>107</v>
      </c>
      <c r="C1828" t="s">
        <v>192</v>
      </c>
      <c r="D1828" s="110">
        <v>201718.58</v>
      </c>
      <c r="E1828" s="110">
        <v>201718.58</v>
      </c>
      <c r="F1828" s="110">
        <v>201718.58</v>
      </c>
      <c r="I1828" s="110">
        <v>200745.07</v>
      </c>
      <c r="J1828" s="110">
        <v>201045.07</v>
      </c>
      <c r="K1828" s="110">
        <v>201045.07</v>
      </c>
    </row>
    <row r="1829" spans="1:12" x14ac:dyDescent="0.2">
      <c r="A1829" t="s">
        <v>46</v>
      </c>
      <c r="B1829" t="s">
        <v>107</v>
      </c>
      <c r="C1829" t="s">
        <v>193</v>
      </c>
      <c r="D1829" s="110">
        <v>211368.31</v>
      </c>
      <c r="E1829" s="110">
        <v>211368.31</v>
      </c>
      <c r="I1829" s="110">
        <v>210097.81</v>
      </c>
      <c r="J1829" s="110">
        <v>210147.81</v>
      </c>
    </row>
    <row r="1830" spans="1:12" x14ac:dyDescent="0.2">
      <c r="A1830" t="s">
        <v>46</v>
      </c>
      <c r="B1830" t="s">
        <v>107</v>
      </c>
      <c r="C1830" t="s">
        <v>194</v>
      </c>
      <c r="D1830" s="110">
        <v>242368.26</v>
      </c>
      <c r="I1830" s="110">
        <v>239377.54</v>
      </c>
    </row>
    <row r="1831" spans="1:12" x14ac:dyDescent="0.2">
      <c r="A1831" t="s">
        <v>46</v>
      </c>
      <c r="B1831" t="s">
        <v>108</v>
      </c>
      <c r="C1831" t="s">
        <v>191</v>
      </c>
      <c r="D1831" s="110">
        <v>50578.5</v>
      </c>
      <c r="E1831" s="110">
        <v>50578.5</v>
      </c>
      <c r="F1831" s="110">
        <v>50578.5</v>
      </c>
      <c r="G1831" s="110">
        <v>50578.5</v>
      </c>
      <c r="I1831" s="110">
        <v>50068.5</v>
      </c>
      <c r="J1831" s="110">
        <v>50068.5</v>
      </c>
      <c r="K1831" s="110">
        <v>50068.5</v>
      </c>
      <c r="L1831" s="110">
        <v>50068.5</v>
      </c>
    </row>
    <row r="1832" spans="1:12" x14ac:dyDescent="0.2">
      <c r="A1832" t="s">
        <v>46</v>
      </c>
      <c r="B1832" t="s">
        <v>108</v>
      </c>
      <c r="C1832" t="s">
        <v>192</v>
      </c>
      <c r="D1832" s="110">
        <v>68026.5</v>
      </c>
      <c r="E1832" s="110">
        <v>68026.5</v>
      </c>
      <c r="F1832" s="110">
        <v>68026.5</v>
      </c>
      <c r="I1832" s="110">
        <v>67543</v>
      </c>
      <c r="J1832" s="110">
        <v>67543</v>
      </c>
      <c r="K1832" s="110">
        <v>67543</v>
      </c>
    </row>
    <row r="1833" spans="1:12" x14ac:dyDescent="0.2">
      <c r="A1833" t="s">
        <v>46</v>
      </c>
      <c r="B1833" t="s">
        <v>108</v>
      </c>
      <c r="C1833" t="s">
        <v>193</v>
      </c>
      <c r="D1833" s="110">
        <v>82748</v>
      </c>
      <c r="E1833" s="110">
        <v>82748</v>
      </c>
      <c r="I1833" s="110">
        <v>80958.5</v>
      </c>
      <c r="J1833" s="110">
        <v>81189.5</v>
      </c>
    </row>
    <row r="1834" spans="1:12" x14ac:dyDescent="0.2">
      <c r="A1834" t="s">
        <v>46</v>
      </c>
      <c r="B1834" t="s">
        <v>108</v>
      </c>
      <c r="C1834" t="s">
        <v>194</v>
      </c>
      <c r="D1834" s="110">
        <v>54923.5</v>
      </c>
      <c r="I1834" s="110">
        <v>54338.5</v>
      </c>
    </row>
    <row r="1835" spans="1:12" x14ac:dyDescent="0.2">
      <c r="A1835" t="s">
        <v>46</v>
      </c>
      <c r="B1835" t="s">
        <v>70</v>
      </c>
      <c r="C1835" t="s">
        <v>191</v>
      </c>
      <c r="D1835" s="110">
        <v>158424.5</v>
      </c>
      <c r="E1835" s="110">
        <v>158428</v>
      </c>
      <c r="F1835" s="110">
        <v>158428</v>
      </c>
      <c r="G1835" s="110">
        <v>158428</v>
      </c>
      <c r="I1835" s="110">
        <v>135748.5</v>
      </c>
      <c r="J1835" s="110">
        <v>136628</v>
      </c>
      <c r="K1835" s="110">
        <v>136631.5</v>
      </c>
      <c r="L1835" s="110">
        <v>137052.5</v>
      </c>
    </row>
    <row r="1836" spans="1:12" x14ac:dyDescent="0.2">
      <c r="A1836" t="s">
        <v>46</v>
      </c>
      <c r="B1836" t="s">
        <v>70</v>
      </c>
      <c r="C1836" t="s">
        <v>192</v>
      </c>
      <c r="D1836" s="110">
        <v>168860</v>
      </c>
      <c r="E1836" s="110">
        <v>168860</v>
      </c>
      <c r="F1836" s="110">
        <v>168860</v>
      </c>
      <c r="I1836" s="110">
        <v>146825.5</v>
      </c>
      <c r="J1836" s="110">
        <v>146825.5</v>
      </c>
      <c r="K1836" s="110">
        <v>146825.5</v>
      </c>
    </row>
    <row r="1837" spans="1:12" x14ac:dyDescent="0.2">
      <c r="A1837" t="s">
        <v>46</v>
      </c>
      <c r="B1837" t="s">
        <v>70</v>
      </c>
      <c r="C1837" t="s">
        <v>193</v>
      </c>
      <c r="D1837" s="110">
        <v>190784.84</v>
      </c>
      <c r="E1837" s="110">
        <v>190784.84</v>
      </c>
      <c r="I1837" s="110">
        <v>167977.34</v>
      </c>
      <c r="J1837" s="110">
        <v>168418.34</v>
      </c>
    </row>
    <row r="1838" spans="1:12" x14ac:dyDescent="0.2">
      <c r="A1838" t="s">
        <v>46</v>
      </c>
      <c r="B1838" t="s">
        <v>70</v>
      </c>
      <c r="C1838" t="s">
        <v>194</v>
      </c>
      <c r="D1838" s="110">
        <v>171593.25</v>
      </c>
      <c r="I1838" s="110">
        <v>148128.75</v>
      </c>
    </row>
    <row r="1839" spans="1:12" x14ac:dyDescent="0.2">
      <c r="A1839" t="s">
        <v>46</v>
      </c>
      <c r="B1839" t="s">
        <v>110</v>
      </c>
      <c r="C1839" t="s">
        <v>191</v>
      </c>
      <c r="D1839" s="110">
        <v>604331.1</v>
      </c>
      <c r="E1839" s="110">
        <v>601301.66</v>
      </c>
      <c r="F1839" s="110">
        <v>602701.96</v>
      </c>
      <c r="G1839" s="110">
        <v>602980.56000000006</v>
      </c>
      <c r="I1839" s="110">
        <v>333365.02</v>
      </c>
      <c r="J1839" s="110">
        <v>438126.2</v>
      </c>
      <c r="K1839" s="110">
        <v>464218.3</v>
      </c>
      <c r="L1839" s="110">
        <v>474276.74</v>
      </c>
    </row>
    <row r="1840" spans="1:12" x14ac:dyDescent="0.2">
      <c r="A1840" t="s">
        <v>46</v>
      </c>
      <c r="B1840" t="s">
        <v>110</v>
      </c>
      <c r="C1840" t="s">
        <v>192</v>
      </c>
      <c r="D1840" s="110">
        <v>580776.15</v>
      </c>
      <c r="E1840" s="110">
        <v>583241.32999999996</v>
      </c>
      <c r="F1840" s="110">
        <v>584655.82999999996</v>
      </c>
      <c r="I1840" s="110">
        <v>334105.64</v>
      </c>
      <c r="J1840" s="110">
        <v>422805.93</v>
      </c>
      <c r="K1840" s="110">
        <v>451027.41</v>
      </c>
    </row>
    <row r="1841" spans="1:12" x14ac:dyDescent="0.2">
      <c r="A1841" t="s">
        <v>46</v>
      </c>
      <c r="B1841" t="s">
        <v>110</v>
      </c>
      <c r="C1841" t="s">
        <v>193</v>
      </c>
      <c r="D1841" s="110">
        <v>534312.92000000004</v>
      </c>
      <c r="E1841" s="110">
        <v>531500.6</v>
      </c>
      <c r="I1841" s="110">
        <v>271997.23</v>
      </c>
      <c r="J1841" s="110">
        <v>383211.38</v>
      </c>
    </row>
    <row r="1842" spans="1:12" x14ac:dyDescent="0.2">
      <c r="A1842" t="s">
        <v>46</v>
      </c>
      <c r="B1842" t="s">
        <v>110</v>
      </c>
      <c r="C1842" t="s">
        <v>194</v>
      </c>
      <c r="D1842" s="110">
        <v>553262.46</v>
      </c>
      <c r="I1842" s="110">
        <v>310499.76</v>
      </c>
    </row>
    <row r="1843" spans="1:12" x14ac:dyDescent="0.2">
      <c r="A1843" t="s">
        <v>47</v>
      </c>
      <c r="B1843" t="s">
        <v>104</v>
      </c>
      <c r="C1843" t="s">
        <v>191</v>
      </c>
      <c r="D1843" s="110">
        <v>129926.07</v>
      </c>
      <c r="E1843" s="110">
        <v>129876.07</v>
      </c>
      <c r="F1843" s="110">
        <v>129876.07</v>
      </c>
      <c r="G1843" s="110">
        <v>128475.07</v>
      </c>
      <c r="I1843" s="110">
        <v>2314.7199999999998</v>
      </c>
      <c r="J1843" s="110">
        <v>9076.84</v>
      </c>
      <c r="K1843" s="110">
        <v>12054.61</v>
      </c>
      <c r="L1843" s="110">
        <v>13984.08</v>
      </c>
    </row>
    <row r="1844" spans="1:12" x14ac:dyDescent="0.2">
      <c r="A1844" t="s">
        <v>47</v>
      </c>
      <c r="B1844" t="s">
        <v>104</v>
      </c>
      <c r="C1844" t="s">
        <v>192</v>
      </c>
      <c r="D1844" s="110">
        <v>146796.5</v>
      </c>
      <c r="E1844" s="110">
        <v>145634.5</v>
      </c>
      <c r="F1844" s="110">
        <v>145634.5</v>
      </c>
      <c r="I1844" s="110">
        <v>4176.29</v>
      </c>
      <c r="J1844" s="110">
        <v>12070.4</v>
      </c>
      <c r="K1844" s="110">
        <v>15607.6</v>
      </c>
    </row>
    <row r="1845" spans="1:12" x14ac:dyDescent="0.2">
      <c r="A1845" t="s">
        <v>47</v>
      </c>
      <c r="B1845" t="s">
        <v>104</v>
      </c>
      <c r="C1845" t="s">
        <v>193</v>
      </c>
      <c r="D1845" s="110">
        <v>348682.34</v>
      </c>
      <c r="E1845" s="110">
        <v>348702.34</v>
      </c>
      <c r="I1845" s="110">
        <v>5603.03</v>
      </c>
      <c r="J1845" s="110">
        <v>19570.97</v>
      </c>
    </row>
    <row r="1846" spans="1:12" x14ac:dyDescent="0.2">
      <c r="A1846" t="s">
        <v>47</v>
      </c>
      <c r="B1846" t="s">
        <v>104</v>
      </c>
      <c r="C1846" t="s">
        <v>194</v>
      </c>
      <c r="D1846" s="110">
        <v>438134.13</v>
      </c>
      <c r="I1846" s="110">
        <v>11267.33</v>
      </c>
    </row>
    <row r="1847" spans="1:12" x14ac:dyDescent="0.2">
      <c r="A1847" t="s">
        <v>47</v>
      </c>
      <c r="B1847" t="s">
        <v>140</v>
      </c>
      <c r="C1847" t="s">
        <v>191</v>
      </c>
    </row>
    <row r="1848" spans="1:12" x14ac:dyDescent="0.2">
      <c r="A1848" t="s">
        <v>47</v>
      </c>
      <c r="B1848" t="s">
        <v>140</v>
      </c>
      <c r="C1848" t="s">
        <v>192</v>
      </c>
      <c r="D1848" s="110">
        <v>50000</v>
      </c>
    </row>
    <row r="1849" spans="1:12" x14ac:dyDescent="0.2">
      <c r="A1849" t="s">
        <v>47</v>
      </c>
      <c r="B1849" t="s">
        <v>140</v>
      </c>
      <c r="C1849" t="s">
        <v>193</v>
      </c>
      <c r="D1849" s="110">
        <v>150000</v>
      </c>
      <c r="E1849" s="110">
        <v>150000</v>
      </c>
    </row>
    <row r="1850" spans="1:12" x14ac:dyDescent="0.2">
      <c r="A1850" t="s">
        <v>47</v>
      </c>
      <c r="B1850" t="s">
        <v>140</v>
      </c>
      <c r="C1850" t="s">
        <v>194</v>
      </c>
      <c r="D1850" s="110">
        <v>225000</v>
      </c>
    </row>
    <row r="1851" spans="1:12" x14ac:dyDescent="0.2">
      <c r="A1851" t="s">
        <v>47</v>
      </c>
      <c r="B1851" t="s">
        <v>105</v>
      </c>
      <c r="C1851" t="s">
        <v>191</v>
      </c>
      <c r="D1851" s="110">
        <v>69089</v>
      </c>
      <c r="E1851" s="110">
        <v>69089</v>
      </c>
      <c r="F1851" s="110">
        <v>68494</v>
      </c>
      <c r="G1851" s="110">
        <v>68494</v>
      </c>
      <c r="I1851" s="110">
        <v>9516</v>
      </c>
      <c r="J1851" s="110">
        <v>19949</v>
      </c>
      <c r="K1851" s="110">
        <v>26172.5</v>
      </c>
      <c r="L1851" s="110">
        <v>28405.5</v>
      </c>
    </row>
    <row r="1852" spans="1:12" x14ac:dyDescent="0.2">
      <c r="A1852" t="s">
        <v>47</v>
      </c>
      <c r="B1852" t="s">
        <v>105</v>
      </c>
      <c r="C1852" t="s">
        <v>192</v>
      </c>
      <c r="D1852" s="110">
        <v>79076.25</v>
      </c>
      <c r="E1852" s="110">
        <v>78543.25</v>
      </c>
      <c r="F1852" s="110">
        <v>78543.25</v>
      </c>
      <c r="I1852" s="110">
        <v>11285</v>
      </c>
      <c r="J1852" s="110">
        <v>23607.32</v>
      </c>
      <c r="K1852" s="110">
        <v>28990</v>
      </c>
    </row>
    <row r="1853" spans="1:12" x14ac:dyDescent="0.2">
      <c r="A1853" t="s">
        <v>47</v>
      </c>
      <c r="B1853" t="s">
        <v>105</v>
      </c>
      <c r="C1853" t="s">
        <v>193</v>
      </c>
      <c r="D1853" s="110">
        <v>74089</v>
      </c>
      <c r="E1853" s="110">
        <v>75581</v>
      </c>
      <c r="I1853" s="110">
        <v>15590</v>
      </c>
      <c r="J1853" s="110">
        <v>26334.5</v>
      </c>
    </row>
    <row r="1854" spans="1:12" x14ac:dyDescent="0.2">
      <c r="A1854" t="s">
        <v>47</v>
      </c>
      <c r="B1854" t="s">
        <v>105</v>
      </c>
      <c r="C1854" t="s">
        <v>194</v>
      </c>
      <c r="D1854" s="110">
        <v>87712.78</v>
      </c>
      <c r="I1854" s="110">
        <v>16196.78</v>
      </c>
    </row>
    <row r="1855" spans="1:12" x14ac:dyDescent="0.2">
      <c r="A1855" t="s">
        <v>47</v>
      </c>
      <c r="B1855" t="s">
        <v>111</v>
      </c>
      <c r="C1855" t="s">
        <v>191</v>
      </c>
      <c r="D1855" s="110">
        <v>4970</v>
      </c>
      <c r="E1855" s="110">
        <v>4970</v>
      </c>
      <c r="F1855" s="110">
        <v>4970</v>
      </c>
      <c r="G1855" s="110">
        <v>4970</v>
      </c>
      <c r="I1855" s="110">
        <v>150</v>
      </c>
      <c r="J1855" s="110">
        <v>220</v>
      </c>
      <c r="K1855" s="110">
        <v>320</v>
      </c>
      <c r="L1855" s="110">
        <v>420</v>
      </c>
    </row>
    <row r="1856" spans="1:12" x14ac:dyDescent="0.2">
      <c r="A1856" t="s">
        <v>47</v>
      </c>
      <c r="B1856" t="s">
        <v>111</v>
      </c>
      <c r="C1856" t="s">
        <v>192</v>
      </c>
      <c r="D1856" s="110">
        <v>13502</v>
      </c>
      <c r="E1856" s="110">
        <v>13502</v>
      </c>
      <c r="F1856" s="110">
        <v>13502</v>
      </c>
      <c r="I1856" s="110">
        <v>112</v>
      </c>
      <c r="J1856" s="110">
        <v>822</v>
      </c>
      <c r="K1856" s="110">
        <v>1022</v>
      </c>
    </row>
    <row r="1857" spans="1:12" x14ac:dyDescent="0.2">
      <c r="A1857" t="s">
        <v>47</v>
      </c>
      <c r="B1857" t="s">
        <v>111</v>
      </c>
      <c r="C1857" t="s">
        <v>193</v>
      </c>
      <c r="D1857" s="110">
        <v>7177</v>
      </c>
      <c r="E1857" s="110">
        <v>10137</v>
      </c>
      <c r="I1857" s="110">
        <v>107</v>
      </c>
      <c r="J1857" s="110">
        <v>107</v>
      </c>
    </row>
    <row r="1858" spans="1:12" x14ac:dyDescent="0.2">
      <c r="A1858" t="s">
        <v>47</v>
      </c>
      <c r="B1858" t="s">
        <v>111</v>
      </c>
      <c r="C1858" t="s">
        <v>194</v>
      </c>
      <c r="D1858" s="110">
        <v>7410.5</v>
      </c>
      <c r="I1858" s="110">
        <v>243.5</v>
      </c>
    </row>
    <row r="1859" spans="1:12" x14ac:dyDescent="0.2">
      <c r="A1859" t="s">
        <v>47</v>
      </c>
      <c r="B1859" t="s">
        <v>109</v>
      </c>
      <c r="C1859" t="s">
        <v>191</v>
      </c>
      <c r="D1859" s="110">
        <v>53833.19</v>
      </c>
      <c r="E1859" s="110">
        <v>53383.19</v>
      </c>
      <c r="F1859" s="110">
        <v>53383.19</v>
      </c>
      <c r="G1859" s="110">
        <v>52683.19</v>
      </c>
      <c r="I1859" s="110">
        <v>24841.94</v>
      </c>
      <c r="J1859" s="110">
        <v>32686.44</v>
      </c>
      <c r="K1859" s="110">
        <v>34521.94</v>
      </c>
      <c r="L1859" s="110">
        <v>36947.440000000002</v>
      </c>
    </row>
    <row r="1860" spans="1:12" x14ac:dyDescent="0.2">
      <c r="A1860" t="s">
        <v>47</v>
      </c>
      <c r="B1860" t="s">
        <v>109</v>
      </c>
      <c r="C1860" t="s">
        <v>192</v>
      </c>
      <c r="D1860" s="110">
        <v>85628.4</v>
      </c>
      <c r="E1860" s="110">
        <v>82384.399999999994</v>
      </c>
      <c r="F1860" s="110">
        <v>82384.399999999994</v>
      </c>
      <c r="I1860" s="110">
        <v>31826.85</v>
      </c>
      <c r="J1860" s="110">
        <v>48968.24</v>
      </c>
      <c r="K1860" s="110">
        <v>55410.74</v>
      </c>
    </row>
    <row r="1861" spans="1:12" x14ac:dyDescent="0.2">
      <c r="A1861" t="s">
        <v>47</v>
      </c>
      <c r="B1861" t="s">
        <v>109</v>
      </c>
      <c r="C1861" t="s">
        <v>193</v>
      </c>
      <c r="D1861" s="110">
        <v>85140.25</v>
      </c>
      <c r="E1861" s="110">
        <v>86508.25</v>
      </c>
      <c r="I1861" s="110">
        <v>26187</v>
      </c>
      <c r="J1861" s="110">
        <v>37986.449999999997</v>
      </c>
    </row>
    <row r="1862" spans="1:12" x14ac:dyDescent="0.2">
      <c r="A1862" t="s">
        <v>47</v>
      </c>
      <c r="B1862" t="s">
        <v>109</v>
      </c>
      <c r="C1862" t="s">
        <v>194</v>
      </c>
      <c r="D1862" s="110">
        <v>68687</v>
      </c>
      <c r="I1862" s="110">
        <v>18482.5</v>
      </c>
    </row>
    <row r="1863" spans="1:12" x14ac:dyDescent="0.2">
      <c r="A1863" t="s">
        <v>47</v>
      </c>
      <c r="B1863" t="s">
        <v>106</v>
      </c>
      <c r="C1863" t="s">
        <v>191</v>
      </c>
      <c r="D1863" s="110">
        <v>37105.5</v>
      </c>
      <c r="E1863" s="110">
        <v>37105.5</v>
      </c>
      <c r="F1863" s="110">
        <v>37105.5</v>
      </c>
      <c r="G1863" s="110">
        <v>37105.5</v>
      </c>
      <c r="I1863" s="110">
        <v>36485.5</v>
      </c>
      <c r="J1863" s="110">
        <v>37095.5</v>
      </c>
      <c r="K1863" s="110">
        <v>37095.5</v>
      </c>
      <c r="L1863" s="110">
        <v>37095.5</v>
      </c>
    </row>
    <row r="1864" spans="1:12" x14ac:dyDescent="0.2">
      <c r="A1864" t="s">
        <v>47</v>
      </c>
      <c r="B1864" t="s">
        <v>106</v>
      </c>
      <c r="C1864" t="s">
        <v>192</v>
      </c>
      <c r="D1864" s="110">
        <v>41969</v>
      </c>
      <c r="E1864" s="110">
        <v>41969</v>
      </c>
      <c r="F1864" s="110">
        <v>41969</v>
      </c>
      <c r="I1864" s="110">
        <v>41469</v>
      </c>
      <c r="J1864" s="110">
        <v>41569</v>
      </c>
      <c r="K1864" s="110">
        <v>41569</v>
      </c>
    </row>
    <row r="1865" spans="1:12" x14ac:dyDescent="0.2">
      <c r="A1865" t="s">
        <v>47</v>
      </c>
      <c r="B1865" t="s">
        <v>106</v>
      </c>
      <c r="C1865" t="s">
        <v>193</v>
      </c>
      <c r="D1865" s="110">
        <v>50653.48</v>
      </c>
      <c r="E1865" s="110">
        <v>50653.48</v>
      </c>
      <c r="I1865" s="110">
        <v>45435.98</v>
      </c>
      <c r="J1865" s="110">
        <v>49353.48</v>
      </c>
    </row>
    <row r="1866" spans="1:12" x14ac:dyDescent="0.2">
      <c r="A1866" t="s">
        <v>47</v>
      </c>
      <c r="B1866" t="s">
        <v>106</v>
      </c>
      <c r="C1866" t="s">
        <v>194</v>
      </c>
      <c r="D1866" s="110">
        <v>50173.5</v>
      </c>
      <c r="I1866" s="110">
        <v>47851</v>
      </c>
    </row>
    <row r="1867" spans="1:12" x14ac:dyDescent="0.2">
      <c r="A1867" t="s">
        <v>47</v>
      </c>
      <c r="B1867" t="s">
        <v>107</v>
      </c>
      <c r="C1867" t="s">
        <v>191</v>
      </c>
      <c r="D1867" s="110">
        <v>25753.5</v>
      </c>
      <c r="E1867" s="110">
        <v>25753.5</v>
      </c>
      <c r="F1867" s="110">
        <v>25753.5</v>
      </c>
      <c r="G1867" s="110">
        <v>25753.5</v>
      </c>
      <c r="I1867" s="110">
        <v>24538.5</v>
      </c>
      <c r="J1867" s="110">
        <v>25158.5</v>
      </c>
      <c r="K1867" s="110">
        <v>25158.5</v>
      </c>
      <c r="L1867" s="110">
        <v>25158.5</v>
      </c>
    </row>
    <row r="1868" spans="1:12" x14ac:dyDescent="0.2">
      <c r="A1868" t="s">
        <v>47</v>
      </c>
      <c r="B1868" t="s">
        <v>107</v>
      </c>
      <c r="C1868" t="s">
        <v>192</v>
      </c>
      <c r="D1868" s="110">
        <v>32065.5</v>
      </c>
      <c r="E1868" s="110">
        <v>32060.5</v>
      </c>
      <c r="F1868" s="110">
        <v>32060.5</v>
      </c>
      <c r="I1868" s="110">
        <v>30264.5</v>
      </c>
      <c r="J1868" s="110">
        <v>31779.5</v>
      </c>
      <c r="K1868" s="110">
        <v>31779.5</v>
      </c>
    </row>
    <row r="1869" spans="1:12" x14ac:dyDescent="0.2">
      <c r="A1869" t="s">
        <v>47</v>
      </c>
      <c r="B1869" t="s">
        <v>107</v>
      </c>
      <c r="C1869" t="s">
        <v>193</v>
      </c>
      <c r="D1869" s="110">
        <v>41152</v>
      </c>
      <c r="E1869" s="110">
        <v>41152</v>
      </c>
      <c r="I1869" s="110">
        <v>40367</v>
      </c>
      <c r="J1869" s="110">
        <v>40977</v>
      </c>
    </row>
    <row r="1870" spans="1:12" x14ac:dyDescent="0.2">
      <c r="A1870" t="s">
        <v>47</v>
      </c>
      <c r="B1870" t="s">
        <v>107</v>
      </c>
      <c r="C1870" t="s">
        <v>194</v>
      </c>
      <c r="D1870" s="110">
        <v>44318</v>
      </c>
      <c r="I1870" s="110">
        <v>43743</v>
      </c>
    </row>
    <row r="1871" spans="1:12" x14ac:dyDescent="0.2">
      <c r="A1871" t="s">
        <v>47</v>
      </c>
      <c r="B1871" t="s">
        <v>108</v>
      </c>
      <c r="C1871" t="s">
        <v>191</v>
      </c>
      <c r="D1871" s="110">
        <v>17382.5</v>
      </c>
      <c r="E1871" s="110">
        <v>17382.5</v>
      </c>
      <c r="F1871" s="110">
        <v>17382.5</v>
      </c>
      <c r="G1871" s="110">
        <v>17382.5</v>
      </c>
      <c r="I1871" s="110">
        <v>16351.5</v>
      </c>
      <c r="J1871" s="110">
        <v>17382.5</v>
      </c>
      <c r="K1871" s="110">
        <v>17382.5</v>
      </c>
      <c r="L1871" s="110">
        <v>17382.5</v>
      </c>
    </row>
    <row r="1872" spans="1:12" x14ac:dyDescent="0.2">
      <c r="A1872" t="s">
        <v>47</v>
      </c>
      <c r="B1872" t="s">
        <v>108</v>
      </c>
      <c r="C1872" t="s">
        <v>192</v>
      </c>
      <c r="D1872" s="110">
        <v>12532.5</v>
      </c>
      <c r="E1872" s="110">
        <v>12532.5</v>
      </c>
      <c r="F1872" s="110">
        <v>12532.5</v>
      </c>
      <c r="I1872" s="110">
        <v>12112.5</v>
      </c>
      <c r="J1872" s="110">
        <v>12532.5</v>
      </c>
      <c r="K1872" s="110">
        <v>12532.5</v>
      </c>
    </row>
    <row r="1873" spans="1:12" x14ac:dyDescent="0.2">
      <c r="A1873" t="s">
        <v>47</v>
      </c>
      <c r="B1873" t="s">
        <v>108</v>
      </c>
      <c r="C1873" t="s">
        <v>193</v>
      </c>
      <c r="D1873" s="110">
        <v>15602.5</v>
      </c>
      <c r="E1873" s="110">
        <v>15602.5</v>
      </c>
      <c r="I1873" s="110">
        <v>15602.5</v>
      </c>
      <c r="J1873" s="110">
        <v>15602.5</v>
      </c>
    </row>
    <row r="1874" spans="1:12" x14ac:dyDescent="0.2">
      <c r="A1874" t="s">
        <v>47</v>
      </c>
      <c r="B1874" t="s">
        <v>108</v>
      </c>
      <c r="C1874" t="s">
        <v>194</v>
      </c>
      <c r="D1874" s="110">
        <v>11546.5</v>
      </c>
      <c r="I1874" s="110">
        <v>10751.5</v>
      </c>
    </row>
    <row r="1875" spans="1:12" x14ac:dyDescent="0.2">
      <c r="A1875" t="s">
        <v>47</v>
      </c>
      <c r="B1875" t="s">
        <v>70</v>
      </c>
      <c r="C1875" t="s">
        <v>191</v>
      </c>
      <c r="D1875" s="110">
        <v>20584.5</v>
      </c>
      <c r="E1875" s="110">
        <v>20584.5</v>
      </c>
      <c r="F1875" s="110">
        <v>20584.5</v>
      </c>
      <c r="G1875" s="110">
        <v>20584.5</v>
      </c>
      <c r="I1875" s="110">
        <v>18686.5</v>
      </c>
      <c r="J1875" s="110">
        <v>18981.5</v>
      </c>
      <c r="K1875" s="110">
        <v>18981.5</v>
      </c>
      <c r="L1875" s="110">
        <v>18981.5</v>
      </c>
    </row>
    <row r="1876" spans="1:12" x14ac:dyDescent="0.2">
      <c r="A1876" t="s">
        <v>47</v>
      </c>
      <c r="B1876" t="s">
        <v>70</v>
      </c>
      <c r="C1876" t="s">
        <v>192</v>
      </c>
      <c r="D1876" s="110">
        <v>21479.5</v>
      </c>
      <c r="E1876" s="110">
        <v>21479.5</v>
      </c>
      <c r="F1876" s="110">
        <v>21479.5</v>
      </c>
      <c r="I1876" s="110">
        <v>20263.5</v>
      </c>
      <c r="J1876" s="110">
        <v>20771.5</v>
      </c>
      <c r="K1876" s="110">
        <v>20771.5</v>
      </c>
    </row>
    <row r="1877" spans="1:12" x14ac:dyDescent="0.2">
      <c r="A1877" t="s">
        <v>47</v>
      </c>
      <c r="B1877" t="s">
        <v>70</v>
      </c>
      <c r="C1877" t="s">
        <v>193</v>
      </c>
      <c r="D1877" s="110">
        <v>25809.5</v>
      </c>
      <c r="E1877" s="110">
        <v>25809.5</v>
      </c>
      <c r="I1877" s="110">
        <v>24953.5</v>
      </c>
      <c r="J1877" s="110">
        <v>24953.5</v>
      </c>
    </row>
    <row r="1878" spans="1:12" x14ac:dyDescent="0.2">
      <c r="A1878" t="s">
        <v>47</v>
      </c>
      <c r="B1878" t="s">
        <v>70</v>
      </c>
      <c r="C1878" t="s">
        <v>194</v>
      </c>
      <c r="D1878" s="110">
        <v>23096.5</v>
      </c>
      <c r="I1878" s="110">
        <v>21014.5</v>
      </c>
    </row>
    <row r="1879" spans="1:12" x14ac:dyDescent="0.2">
      <c r="A1879" t="s">
        <v>47</v>
      </c>
      <c r="B1879" t="s">
        <v>110</v>
      </c>
      <c r="C1879" t="s">
        <v>191</v>
      </c>
      <c r="D1879" s="110">
        <v>101718.05</v>
      </c>
      <c r="E1879" s="110">
        <v>93941.9</v>
      </c>
      <c r="F1879" s="110">
        <v>93930.9</v>
      </c>
      <c r="G1879" s="110">
        <v>93930.9</v>
      </c>
      <c r="I1879" s="110">
        <v>44159.55</v>
      </c>
      <c r="J1879" s="110">
        <v>78641.8</v>
      </c>
      <c r="K1879" s="110">
        <v>81799.8</v>
      </c>
      <c r="L1879" s="110">
        <v>82598.8</v>
      </c>
    </row>
    <row r="1880" spans="1:12" x14ac:dyDescent="0.2">
      <c r="A1880" t="s">
        <v>47</v>
      </c>
      <c r="B1880" t="s">
        <v>110</v>
      </c>
      <c r="C1880" t="s">
        <v>192</v>
      </c>
      <c r="D1880" s="110">
        <v>149949.9</v>
      </c>
      <c r="E1880" s="110">
        <v>143318.15</v>
      </c>
      <c r="F1880" s="110">
        <v>143318.15</v>
      </c>
      <c r="I1880" s="110">
        <v>78865.399999999994</v>
      </c>
      <c r="J1880" s="110">
        <v>121065.4</v>
      </c>
      <c r="K1880" s="110">
        <v>125824.15</v>
      </c>
    </row>
    <row r="1881" spans="1:12" x14ac:dyDescent="0.2">
      <c r="A1881" t="s">
        <v>47</v>
      </c>
      <c r="B1881" t="s">
        <v>110</v>
      </c>
      <c r="C1881" t="s">
        <v>193</v>
      </c>
      <c r="D1881" s="110">
        <v>131803.25</v>
      </c>
      <c r="E1881" s="110">
        <v>127279.65</v>
      </c>
      <c r="I1881" s="110">
        <v>70497.25</v>
      </c>
      <c r="J1881" s="110">
        <v>105085.15</v>
      </c>
    </row>
    <row r="1882" spans="1:12" x14ac:dyDescent="0.2">
      <c r="A1882" t="s">
        <v>47</v>
      </c>
      <c r="B1882" t="s">
        <v>110</v>
      </c>
      <c r="C1882" t="s">
        <v>194</v>
      </c>
      <c r="D1882" s="110">
        <v>143956.04999999999</v>
      </c>
      <c r="I1882" s="110">
        <v>65195.4</v>
      </c>
    </row>
    <row r="1883" spans="1:12" x14ac:dyDescent="0.2">
      <c r="A1883" t="s">
        <v>48</v>
      </c>
      <c r="B1883" t="s">
        <v>104</v>
      </c>
      <c r="C1883" t="s">
        <v>191</v>
      </c>
      <c r="D1883" s="110">
        <v>3426572</v>
      </c>
      <c r="E1883" s="110">
        <v>3387500</v>
      </c>
      <c r="F1883" s="110">
        <v>3374998</v>
      </c>
      <c r="G1883" s="110">
        <v>3370460</v>
      </c>
      <c r="I1883" s="110">
        <v>115231</v>
      </c>
      <c r="J1883" s="110">
        <v>220683</v>
      </c>
      <c r="K1883" s="110">
        <v>293016</v>
      </c>
      <c r="L1883" s="110">
        <v>345256</v>
      </c>
    </row>
    <row r="1884" spans="1:12" x14ac:dyDescent="0.2">
      <c r="A1884" t="s">
        <v>48</v>
      </c>
      <c r="B1884" t="s">
        <v>104</v>
      </c>
      <c r="C1884" t="s">
        <v>192</v>
      </c>
      <c r="D1884" s="110">
        <v>3855885</v>
      </c>
      <c r="E1884" s="110">
        <v>3782298</v>
      </c>
      <c r="F1884" s="110">
        <v>3768880</v>
      </c>
      <c r="I1884" s="110">
        <v>150208</v>
      </c>
      <c r="J1884" s="110">
        <v>258180</v>
      </c>
      <c r="K1884" s="110">
        <v>337447</v>
      </c>
    </row>
    <row r="1885" spans="1:12" x14ac:dyDescent="0.2">
      <c r="A1885" t="s">
        <v>48</v>
      </c>
      <c r="B1885" t="s">
        <v>104</v>
      </c>
      <c r="C1885" t="s">
        <v>193</v>
      </c>
      <c r="D1885" s="110">
        <v>4002682</v>
      </c>
      <c r="E1885" s="110">
        <v>3914822</v>
      </c>
      <c r="I1885" s="110">
        <v>122412</v>
      </c>
      <c r="J1885" s="110">
        <v>222193</v>
      </c>
    </row>
    <row r="1886" spans="1:12" x14ac:dyDescent="0.2">
      <c r="A1886" t="s">
        <v>48</v>
      </c>
      <c r="B1886" t="s">
        <v>104</v>
      </c>
      <c r="C1886" t="s">
        <v>194</v>
      </c>
      <c r="D1886" s="110">
        <v>3769041</v>
      </c>
      <c r="I1886" s="110">
        <v>111191</v>
      </c>
    </row>
    <row r="1887" spans="1:12" x14ac:dyDescent="0.2">
      <c r="A1887" t="s">
        <v>48</v>
      </c>
      <c r="B1887" t="s">
        <v>140</v>
      </c>
      <c r="C1887" t="s">
        <v>191</v>
      </c>
      <c r="D1887" s="110">
        <v>1654898</v>
      </c>
      <c r="E1887" s="110">
        <v>1654278</v>
      </c>
      <c r="F1887" s="110">
        <v>1653878</v>
      </c>
      <c r="G1887" s="110">
        <v>1653858</v>
      </c>
      <c r="I1887" s="110">
        <v>2089</v>
      </c>
      <c r="J1887" s="110">
        <v>2702</v>
      </c>
      <c r="K1887" s="110">
        <v>3097</v>
      </c>
      <c r="L1887" s="110">
        <v>3244</v>
      </c>
    </row>
    <row r="1888" spans="1:12" x14ac:dyDescent="0.2">
      <c r="A1888" t="s">
        <v>48</v>
      </c>
      <c r="B1888" t="s">
        <v>140</v>
      </c>
      <c r="C1888" t="s">
        <v>192</v>
      </c>
      <c r="D1888" s="110">
        <v>1493099</v>
      </c>
      <c r="E1888" s="110">
        <v>1492249</v>
      </c>
      <c r="F1888" s="110">
        <v>1491909</v>
      </c>
      <c r="I1888" s="110">
        <v>2054</v>
      </c>
      <c r="J1888" s="110">
        <v>2628</v>
      </c>
      <c r="K1888" s="110">
        <v>3250</v>
      </c>
    </row>
    <row r="1889" spans="1:12" x14ac:dyDescent="0.2">
      <c r="A1889" t="s">
        <v>48</v>
      </c>
      <c r="B1889" t="s">
        <v>140</v>
      </c>
      <c r="C1889" t="s">
        <v>193</v>
      </c>
      <c r="D1889" s="110">
        <v>2068938</v>
      </c>
      <c r="E1889" s="110">
        <v>2054578</v>
      </c>
      <c r="I1889" s="110">
        <v>2161</v>
      </c>
      <c r="J1889" s="110">
        <v>3148</v>
      </c>
    </row>
    <row r="1890" spans="1:12" x14ac:dyDescent="0.2">
      <c r="A1890" t="s">
        <v>48</v>
      </c>
      <c r="B1890" t="s">
        <v>140</v>
      </c>
      <c r="C1890" t="s">
        <v>194</v>
      </c>
      <c r="D1890" s="110">
        <v>908509</v>
      </c>
      <c r="I1890" s="110">
        <v>1793</v>
      </c>
    </row>
    <row r="1891" spans="1:12" x14ac:dyDescent="0.2">
      <c r="A1891" t="s">
        <v>48</v>
      </c>
      <c r="B1891" t="s">
        <v>105</v>
      </c>
      <c r="C1891" t="s">
        <v>191</v>
      </c>
      <c r="D1891" s="110">
        <v>949288</v>
      </c>
      <c r="E1891" s="110">
        <v>927608</v>
      </c>
      <c r="F1891" s="110">
        <v>926302</v>
      </c>
      <c r="G1891" s="110">
        <v>924984</v>
      </c>
      <c r="I1891" s="110">
        <v>122934</v>
      </c>
      <c r="J1891" s="110">
        <v>209526</v>
      </c>
      <c r="K1891" s="110">
        <v>258849</v>
      </c>
      <c r="L1891" s="110">
        <v>282317</v>
      </c>
    </row>
    <row r="1892" spans="1:12" x14ac:dyDescent="0.2">
      <c r="A1892" t="s">
        <v>48</v>
      </c>
      <c r="B1892" t="s">
        <v>105</v>
      </c>
      <c r="C1892" t="s">
        <v>192</v>
      </c>
      <c r="D1892" s="110">
        <v>949675</v>
      </c>
      <c r="E1892" s="110">
        <v>917832</v>
      </c>
      <c r="F1892" s="110">
        <v>913569</v>
      </c>
      <c r="I1892" s="110">
        <v>130559</v>
      </c>
      <c r="J1892" s="110">
        <v>204621</v>
      </c>
      <c r="K1892" s="110">
        <v>250482</v>
      </c>
    </row>
    <row r="1893" spans="1:12" x14ac:dyDescent="0.2">
      <c r="A1893" t="s">
        <v>48</v>
      </c>
      <c r="B1893" t="s">
        <v>105</v>
      </c>
      <c r="C1893" t="s">
        <v>193</v>
      </c>
      <c r="D1893" s="110">
        <v>1022477</v>
      </c>
      <c r="E1893" s="110">
        <v>986494</v>
      </c>
      <c r="I1893" s="110">
        <v>138489</v>
      </c>
      <c r="J1893" s="110">
        <v>213331</v>
      </c>
    </row>
    <row r="1894" spans="1:12" x14ac:dyDescent="0.2">
      <c r="A1894" t="s">
        <v>48</v>
      </c>
      <c r="B1894" t="s">
        <v>105</v>
      </c>
      <c r="C1894" t="s">
        <v>194</v>
      </c>
      <c r="D1894" s="110">
        <v>968225</v>
      </c>
      <c r="I1894" s="110">
        <v>123305</v>
      </c>
    </row>
    <row r="1895" spans="1:12" x14ac:dyDescent="0.2">
      <c r="A1895" t="s">
        <v>48</v>
      </c>
      <c r="B1895" t="s">
        <v>111</v>
      </c>
      <c r="C1895" t="s">
        <v>191</v>
      </c>
      <c r="D1895" s="110">
        <v>151841</v>
      </c>
      <c r="E1895" s="110">
        <v>148450</v>
      </c>
      <c r="F1895" s="110">
        <v>137645</v>
      </c>
      <c r="G1895" s="110">
        <v>131256</v>
      </c>
      <c r="I1895" s="110">
        <v>2706</v>
      </c>
      <c r="J1895" s="110">
        <v>3202</v>
      </c>
      <c r="K1895" s="110">
        <v>5460</v>
      </c>
      <c r="L1895" s="110">
        <v>6784</v>
      </c>
    </row>
    <row r="1896" spans="1:12" x14ac:dyDescent="0.2">
      <c r="A1896" t="s">
        <v>48</v>
      </c>
      <c r="B1896" t="s">
        <v>111</v>
      </c>
      <c r="C1896" t="s">
        <v>192</v>
      </c>
      <c r="D1896" s="110">
        <v>151197</v>
      </c>
      <c r="E1896" s="110">
        <v>144739</v>
      </c>
      <c r="F1896" s="110">
        <v>134709</v>
      </c>
      <c r="I1896" s="110">
        <v>2796</v>
      </c>
      <c r="J1896" s="110">
        <v>7630</v>
      </c>
      <c r="K1896" s="110">
        <v>8780</v>
      </c>
    </row>
    <row r="1897" spans="1:12" x14ac:dyDescent="0.2">
      <c r="A1897" t="s">
        <v>48</v>
      </c>
      <c r="B1897" t="s">
        <v>111</v>
      </c>
      <c r="C1897" t="s">
        <v>193</v>
      </c>
      <c r="D1897" s="110">
        <v>170298</v>
      </c>
      <c r="E1897" s="110">
        <v>161833</v>
      </c>
      <c r="I1897" s="110">
        <v>3986</v>
      </c>
      <c r="J1897" s="110">
        <v>5394</v>
      </c>
    </row>
    <row r="1898" spans="1:12" x14ac:dyDescent="0.2">
      <c r="A1898" t="s">
        <v>48</v>
      </c>
      <c r="B1898" t="s">
        <v>111</v>
      </c>
      <c r="C1898" t="s">
        <v>194</v>
      </c>
      <c r="D1898" s="110">
        <v>127877</v>
      </c>
      <c r="I1898" s="110">
        <v>3919</v>
      </c>
    </row>
    <row r="1899" spans="1:12" x14ac:dyDescent="0.2">
      <c r="A1899" t="s">
        <v>48</v>
      </c>
      <c r="B1899" t="s">
        <v>109</v>
      </c>
      <c r="C1899" t="s">
        <v>191</v>
      </c>
      <c r="D1899" s="110">
        <v>1214958</v>
      </c>
      <c r="E1899" s="110">
        <v>1207221</v>
      </c>
      <c r="F1899" s="110">
        <v>1204846</v>
      </c>
      <c r="G1899" s="110">
        <v>1203964</v>
      </c>
      <c r="I1899" s="110">
        <v>286641</v>
      </c>
      <c r="J1899" s="110">
        <v>459897</v>
      </c>
      <c r="K1899" s="110">
        <v>557053</v>
      </c>
      <c r="L1899" s="110">
        <v>615623</v>
      </c>
    </row>
    <row r="1900" spans="1:12" x14ac:dyDescent="0.2">
      <c r="A1900" t="s">
        <v>48</v>
      </c>
      <c r="B1900" t="s">
        <v>109</v>
      </c>
      <c r="C1900" t="s">
        <v>192</v>
      </c>
      <c r="D1900" s="110">
        <v>1282406</v>
      </c>
      <c r="E1900" s="110">
        <v>1273593</v>
      </c>
      <c r="F1900" s="110">
        <v>1267900</v>
      </c>
      <c r="I1900" s="110">
        <v>319987</v>
      </c>
      <c r="J1900" s="110">
        <v>482069</v>
      </c>
      <c r="K1900" s="110">
        <v>571940</v>
      </c>
    </row>
    <row r="1901" spans="1:12" x14ac:dyDescent="0.2">
      <c r="A1901" t="s">
        <v>48</v>
      </c>
      <c r="B1901" t="s">
        <v>109</v>
      </c>
      <c r="C1901" t="s">
        <v>193</v>
      </c>
      <c r="D1901" s="110">
        <v>1228790</v>
      </c>
      <c r="E1901" s="110">
        <v>1221034</v>
      </c>
      <c r="I1901" s="110">
        <v>332113</v>
      </c>
      <c r="J1901" s="110">
        <v>470566</v>
      </c>
    </row>
    <row r="1902" spans="1:12" x14ac:dyDescent="0.2">
      <c r="A1902" t="s">
        <v>48</v>
      </c>
      <c r="B1902" t="s">
        <v>109</v>
      </c>
      <c r="C1902" t="s">
        <v>194</v>
      </c>
      <c r="D1902" s="110">
        <v>1269637</v>
      </c>
      <c r="I1902" s="110">
        <v>312187</v>
      </c>
    </row>
    <row r="1903" spans="1:12" x14ac:dyDescent="0.2">
      <c r="A1903" t="s">
        <v>48</v>
      </c>
      <c r="B1903" t="s">
        <v>106</v>
      </c>
      <c r="C1903" t="s">
        <v>191</v>
      </c>
      <c r="D1903" s="110">
        <v>1470136</v>
      </c>
      <c r="E1903" s="110">
        <v>1466828</v>
      </c>
      <c r="F1903" s="110">
        <v>1466828</v>
      </c>
      <c r="G1903" s="110">
        <v>1463253</v>
      </c>
      <c r="I1903" s="110">
        <v>1455154</v>
      </c>
      <c r="J1903" s="110">
        <v>1457380</v>
      </c>
      <c r="K1903" s="110">
        <v>1547400</v>
      </c>
      <c r="L1903" s="110">
        <v>1457903</v>
      </c>
    </row>
    <row r="1904" spans="1:12" x14ac:dyDescent="0.2">
      <c r="A1904" t="s">
        <v>48</v>
      </c>
      <c r="B1904" t="s">
        <v>106</v>
      </c>
      <c r="C1904" t="s">
        <v>192</v>
      </c>
      <c r="D1904" s="110">
        <v>2055292</v>
      </c>
      <c r="E1904" s="110">
        <v>2052064</v>
      </c>
      <c r="F1904" s="110">
        <v>2044929</v>
      </c>
      <c r="I1904" s="110">
        <v>2036066</v>
      </c>
      <c r="J1904" s="110">
        <v>2037511</v>
      </c>
      <c r="K1904" s="110">
        <v>2038468</v>
      </c>
    </row>
    <row r="1905" spans="1:12" x14ac:dyDescent="0.2">
      <c r="A1905" t="s">
        <v>48</v>
      </c>
      <c r="B1905" t="s">
        <v>106</v>
      </c>
      <c r="C1905" t="s">
        <v>193</v>
      </c>
      <c r="D1905" s="110">
        <v>2569138</v>
      </c>
      <c r="E1905" s="110">
        <v>2560691</v>
      </c>
      <c r="I1905" s="110">
        <v>2551445</v>
      </c>
      <c r="J1905" s="110">
        <v>2549049</v>
      </c>
    </row>
    <row r="1906" spans="1:12" x14ac:dyDescent="0.2">
      <c r="A1906" t="s">
        <v>48</v>
      </c>
      <c r="B1906" t="s">
        <v>106</v>
      </c>
      <c r="C1906" t="s">
        <v>194</v>
      </c>
      <c r="D1906" s="110">
        <v>2283928</v>
      </c>
      <c r="I1906" s="110">
        <v>2260285</v>
      </c>
    </row>
    <row r="1907" spans="1:12" x14ac:dyDescent="0.2">
      <c r="A1907" t="s">
        <v>48</v>
      </c>
      <c r="B1907" t="s">
        <v>107</v>
      </c>
      <c r="C1907" t="s">
        <v>191</v>
      </c>
      <c r="D1907" s="110">
        <v>2233570</v>
      </c>
      <c r="E1907" s="110">
        <v>2232708</v>
      </c>
      <c r="F1907" s="110">
        <v>2232708</v>
      </c>
      <c r="G1907" s="110">
        <v>2230590</v>
      </c>
      <c r="I1907" s="110">
        <v>2228232</v>
      </c>
      <c r="J1907" s="110">
        <v>2228865</v>
      </c>
      <c r="K1907" s="110">
        <v>2228900</v>
      </c>
      <c r="L1907" s="110">
        <v>2229070</v>
      </c>
    </row>
    <row r="1908" spans="1:12" x14ac:dyDescent="0.2">
      <c r="A1908" t="s">
        <v>48</v>
      </c>
      <c r="B1908" t="s">
        <v>107</v>
      </c>
      <c r="C1908" t="s">
        <v>192</v>
      </c>
      <c r="D1908" s="110">
        <v>2338778</v>
      </c>
      <c r="E1908" s="110">
        <v>2337606</v>
      </c>
      <c r="F1908" s="110">
        <v>2334136</v>
      </c>
      <c r="I1908" s="110">
        <v>2333453</v>
      </c>
      <c r="J1908" s="110">
        <v>2332941</v>
      </c>
      <c r="K1908" s="110">
        <v>2332881</v>
      </c>
    </row>
    <row r="1909" spans="1:12" x14ac:dyDescent="0.2">
      <c r="A1909" t="s">
        <v>48</v>
      </c>
      <c r="B1909" t="s">
        <v>107</v>
      </c>
      <c r="C1909" t="s">
        <v>193</v>
      </c>
      <c r="D1909" s="110">
        <v>2703945</v>
      </c>
      <c r="E1909" s="110">
        <v>2699780</v>
      </c>
      <c r="I1909" s="110">
        <v>2698733</v>
      </c>
      <c r="J1909" s="110">
        <v>2697627</v>
      </c>
    </row>
    <row r="1910" spans="1:12" x14ac:dyDescent="0.2">
      <c r="A1910" t="s">
        <v>48</v>
      </c>
      <c r="B1910" t="s">
        <v>107</v>
      </c>
      <c r="C1910" t="s">
        <v>194</v>
      </c>
      <c r="D1910" s="110">
        <v>2731990</v>
      </c>
      <c r="I1910" s="110">
        <v>2728004</v>
      </c>
    </row>
    <row r="1911" spans="1:12" x14ac:dyDescent="0.2">
      <c r="A1911" t="s">
        <v>48</v>
      </c>
      <c r="B1911" t="s">
        <v>108</v>
      </c>
      <c r="C1911" t="s">
        <v>191</v>
      </c>
      <c r="D1911" s="110">
        <v>262873</v>
      </c>
      <c r="E1911" s="110">
        <v>261933</v>
      </c>
      <c r="F1911" s="110">
        <v>261933</v>
      </c>
      <c r="G1911" s="110">
        <v>259764</v>
      </c>
      <c r="I1911" s="110">
        <v>258852</v>
      </c>
      <c r="J1911" s="110">
        <v>259054</v>
      </c>
      <c r="K1911" s="110">
        <v>259079</v>
      </c>
      <c r="L1911" s="110">
        <v>259479</v>
      </c>
    </row>
    <row r="1912" spans="1:12" x14ac:dyDescent="0.2">
      <c r="A1912" t="s">
        <v>48</v>
      </c>
      <c r="B1912" t="s">
        <v>108</v>
      </c>
      <c r="C1912" t="s">
        <v>192</v>
      </c>
      <c r="D1912" s="110">
        <v>297420</v>
      </c>
      <c r="E1912" s="110">
        <v>296620</v>
      </c>
      <c r="F1912" s="110">
        <v>295295</v>
      </c>
      <c r="I1912" s="110">
        <v>295030</v>
      </c>
      <c r="J1912" s="110">
        <v>295030</v>
      </c>
      <c r="K1912" s="110">
        <v>295234</v>
      </c>
    </row>
    <row r="1913" spans="1:12" x14ac:dyDescent="0.2">
      <c r="A1913" t="s">
        <v>48</v>
      </c>
      <c r="B1913" t="s">
        <v>108</v>
      </c>
      <c r="C1913" t="s">
        <v>193</v>
      </c>
      <c r="D1913" s="110">
        <v>295322</v>
      </c>
      <c r="E1913" s="110">
        <v>289782</v>
      </c>
      <c r="I1913" s="110">
        <v>288462</v>
      </c>
      <c r="J1913" s="110">
        <v>288705</v>
      </c>
    </row>
    <row r="1914" spans="1:12" x14ac:dyDescent="0.2">
      <c r="A1914" t="s">
        <v>48</v>
      </c>
      <c r="B1914" t="s">
        <v>108</v>
      </c>
      <c r="C1914" t="s">
        <v>194</v>
      </c>
      <c r="D1914" s="110">
        <v>292076</v>
      </c>
      <c r="I1914" s="110">
        <v>290145</v>
      </c>
    </row>
    <row r="1915" spans="1:12" x14ac:dyDescent="0.2">
      <c r="A1915" t="s">
        <v>48</v>
      </c>
      <c r="B1915" t="s">
        <v>70</v>
      </c>
      <c r="C1915" t="s">
        <v>191</v>
      </c>
      <c r="D1915" s="110">
        <v>622030</v>
      </c>
      <c r="E1915" s="110">
        <v>616513</v>
      </c>
      <c r="F1915" s="110">
        <v>613915</v>
      </c>
      <c r="G1915" s="110">
        <v>601062</v>
      </c>
      <c r="I1915" s="110">
        <v>574828</v>
      </c>
      <c r="J1915" s="110">
        <v>582395</v>
      </c>
      <c r="K1915" s="110">
        <v>584787</v>
      </c>
      <c r="L1915" s="110">
        <v>585953</v>
      </c>
    </row>
    <row r="1916" spans="1:12" x14ac:dyDescent="0.2">
      <c r="A1916" t="s">
        <v>48</v>
      </c>
      <c r="B1916" t="s">
        <v>70</v>
      </c>
      <c r="C1916" t="s">
        <v>192</v>
      </c>
      <c r="D1916" s="110">
        <v>654690</v>
      </c>
      <c r="E1916" s="110">
        <v>645576</v>
      </c>
      <c r="F1916" s="110">
        <v>628981</v>
      </c>
      <c r="I1916" s="110">
        <v>605195</v>
      </c>
      <c r="J1916" s="110">
        <v>609759</v>
      </c>
      <c r="K1916" s="110">
        <v>610910</v>
      </c>
    </row>
    <row r="1917" spans="1:12" x14ac:dyDescent="0.2">
      <c r="A1917" t="s">
        <v>48</v>
      </c>
      <c r="B1917" t="s">
        <v>70</v>
      </c>
      <c r="C1917" t="s">
        <v>193</v>
      </c>
      <c r="D1917" s="110">
        <v>719149</v>
      </c>
      <c r="E1917" s="110">
        <v>709621</v>
      </c>
      <c r="I1917" s="110">
        <v>652463</v>
      </c>
      <c r="J1917" s="110">
        <v>662851</v>
      </c>
    </row>
    <row r="1918" spans="1:12" x14ac:dyDescent="0.2">
      <c r="A1918" t="s">
        <v>48</v>
      </c>
      <c r="B1918" t="s">
        <v>70</v>
      </c>
      <c r="C1918" t="s">
        <v>194</v>
      </c>
      <c r="D1918" s="110">
        <v>656712</v>
      </c>
      <c r="I1918" s="110">
        <v>612761</v>
      </c>
    </row>
    <row r="1919" spans="1:12" x14ac:dyDescent="0.2">
      <c r="A1919" t="s">
        <v>48</v>
      </c>
      <c r="B1919" t="s">
        <v>110</v>
      </c>
      <c r="C1919" t="s">
        <v>191</v>
      </c>
      <c r="D1919" s="110">
        <v>11913474</v>
      </c>
      <c r="E1919" s="110">
        <v>10825477</v>
      </c>
      <c r="F1919" s="110">
        <v>10788075</v>
      </c>
      <c r="G1919" s="110">
        <v>10767791</v>
      </c>
      <c r="I1919" s="110">
        <v>4095790</v>
      </c>
      <c r="J1919" s="110">
        <v>6919613</v>
      </c>
      <c r="K1919" s="110">
        <v>7666913</v>
      </c>
      <c r="L1919" s="110">
        <v>8258169</v>
      </c>
    </row>
    <row r="1920" spans="1:12" x14ac:dyDescent="0.2">
      <c r="A1920" t="s">
        <v>48</v>
      </c>
      <c r="B1920" t="s">
        <v>110</v>
      </c>
      <c r="C1920" t="s">
        <v>192</v>
      </c>
      <c r="D1920" s="110">
        <v>12693265</v>
      </c>
      <c r="E1920" s="110">
        <v>11417816</v>
      </c>
      <c r="F1920" s="110">
        <v>11359691</v>
      </c>
      <c r="I1920" s="110">
        <v>4413928</v>
      </c>
      <c r="J1920" s="110">
        <v>6938214</v>
      </c>
      <c r="K1920" s="110">
        <v>7577022</v>
      </c>
    </row>
    <row r="1921" spans="1:12" x14ac:dyDescent="0.2">
      <c r="A1921" t="s">
        <v>48</v>
      </c>
      <c r="B1921" t="s">
        <v>110</v>
      </c>
      <c r="C1921" t="s">
        <v>193</v>
      </c>
      <c r="D1921" s="110">
        <v>13099643</v>
      </c>
      <c r="E1921" s="110">
        <v>11919839</v>
      </c>
      <c r="I1921" s="110">
        <v>4272716</v>
      </c>
      <c r="J1921" s="110">
        <v>7189496</v>
      </c>
    </row>
    <row r="1922" spans="1:12" x14ac:dyDescent="0.2">
      <c r="A1922" t="s">
        <v>48</v>
      </c>
      <c r="B1922" t="s">
        <v>110</v>
      </c>
      <c r="C1922" t="s">
        <v>194</v>
      </c>
      <c r="D1922" s="110">
        <v>13355042</v>
      </c>
      <c r="I1922" s="110">
        <v>4362159</v>
      </c>
    </row>
    <row r="1923" spans="1:12" x14ac:dyDescent="0.2">
      <c r="A1923" t="s">
        <v>49</v>
      </c>
      <c r="B1923" t="s">
        <v>104</v>
      </c>
      <c r="C1923" t="s">
        <v>191</v>
      </c>
      <c r="D1923" s="110">
        <v>2610147.65</v>
      </c>
      <c r="E1923" s="110">
        <v>2604673.9</v>
      </c>
      <c r="F1923" s="110">
        <v>2602892.4</v>
      </c>
      <c r="G1923" s="110">
        <v>2602383.9</v>
      </c>
      <c r="I1923" s="110">
        <v>60983.75</v>
      </c>
      <c r="J1923" s="110">
        <v>88311.24</v>
      </c>
      <c r="K1923" s="110">
        <v>110012.6</v>
      </c>
      <c r="L1923" s="110">
        <v>129934.75</v>
      </c>
    </row>
    <row r="1924" spans="1:12" x14ac:dyDescent="0.2">
      <c r="A1924" t="s">
        <v>49</v>
      </c>
      <c r="B1924" t="s">
        <v>104</v>
      </c>
      <c r="C1924" t="s">
        <v>192</v>
      </c>
      <c r="D1924" s="110">
        <v>4157025.88</v>
      </c>
      <c r="E1924" s="110">
        <v>4159811.28</v>
      </c>
      <c r="F1924" s="110">
        <v>4048569.04</v>
      </c>
      <c r="I1924" s="110">
        <v>126714.74</v>
      </c>
      <c r="J1924" s="110">
        <v>161728.45000000001</v>
      </c>
      <c r="K1924" s="110">
        <v>187743.9</v>
      </c>
    </row>
    <row r="1925" spans="1:12" x14ac:dyDescent="0.2">
      <c r="A1925" t="s">
        <v>49</v>
      </c>
      <c r="B1925" t="s">
        <v>104</v>
      </c>
      <c r="C1925" t="s">
        <v>193</v>
      </c>
      <c r="D1925" s="110">
        <v>3811462.69</v>
      </c>
      <c r="E1925" s="110">
        <v>3804258.6</v>
      </c>
      <c r="I1925" s="110">
        <v>134338.93</v>
      </c>
      <c r="J1925" s="110">
        <v>171963.97</v>
      </c>
    </row>
    <row r="1926" spans="1:12" x14ac:dyDescent="0.2">
      <c r="A1926" t="s">
        <v>49</v>
      </c>
      <c r="B1926" t="s">
        <v>104</v>
      </c>
      <c r="C1926" t="s">
        <v>194</v>
      </c>
      <c r="D1926" s="110">
        <v>2128121.25</v>
      </c>
      <c r="I1926" s="110">
        <v>123769.4</v>
      </c>
    </row>
    <row r="1927" spans="1:12" x14ac:dyDescent="0.2">
      <c r="A1927" t="s">
        <v>49</v>
      </c>
      <c r="B1927" t="s">
        <v>140</v>
      </c>
      <c r="C1927" t="s">
        <v>191</v>
      </c>
      <c r="D1927" s="110">
        <v>1821571.23</v>
      </c>
      <c r="E1927" s="110">
        <v>1821621.23</v>
      </c>
      <c r="F1927" s="110">
        <v>1821421.23</v>
      </c>
      <c r="G1927" s="110">
        <v>1821366.23</v>
      </c>
      <c r="I1927" s="110">
        <v>283.95999999999998</v>
      </c>
      <c r="J1927" s="110">
        <v>349.23</v>
      </c>
      <c r="K1927" s="110">
        <v>349.23</v>
      </c>
      <c r="L1927" s="110">
        <v>344.23</v>
      </c>
    </row>
    <row r="1928" spans="1:12" x14ac:dyDescent="0.2">
      <c r="A1928" t="s">
        <v>49</v>
      </c>
      <c r="B1928" t="s">
        <v>140</v>
      </c>
      <c r="C1928" t="s">
        <v>192</v>
      </c>
      <c r="D1928" s="110">
        <v>3431453.24</v>
      </c>
      <c r="E1928" s="110">
        <v>3440081.19</v>
      </c>
      <c r="F1928" s="110">
        <v>3332372.03</v>
      </c>
      <c r="I1928" s="110">
        <v>50370.69</v>
      </c>
      <c r="J1928" s="110">
        <v>50430.69</v>
      </c>
      <c r="K1928" s="110">
        <v>50469.15</v>
      </c>
    </row>
    <row r="1929" spans="1:12" x14ac:dyDescent="0.2">
      <c r="A1929" t="s">
        <v>49</v>
      </c>
      <c r="B1929" t="s">
        <v>140</v>
      </c>
      <c r="C1929" t="s">
        <v>193</v>
      </c>
      <c r="D1929" s="110">
        <v>2894071.42</v>
      </c>
      <c r="E1929" s="110">
        <v>2893559.33</v>
      </c>
      <c r="I1929" s="110">
        <v>10429.56</v>
      </c>
      <c r="J1929" s="110">
        <v>10461.68</v>
      </c>
    </row>
    <row r="1930" spans="1:12" x14ac:dyDescent="0.2">
      <c r="A1930" t="s">
        <v>49</v>
      </c>
      <c r="B1930" t="s">
        <v>140</v>
      </c>
      <c r="C1930" t="s">
        <v>194</v>
      </c>
      <c r="D1930" s="110">
        <v>1330161.31</v>
      </c>
      <c r="I1930" s="110">
        <v>51582.720000000001</v>
      </c>
    </row>
    <row r="1931" spans="1:12" x14ac:dyDescent="0.2">
      <c r="A1931" t="s">
        <v>49</v>
      </c>
      <c r="B1931" t="s">
        <v>105</v>
      </c>
      <c r="C1931" t="s">
        <v>191</v>
      </c>
      <c r="D1931" s="110">
        <v>330709.01</v>
      </c>
      <c r="E1931" s="110">
        <v>321334.21000000002</v>
      </c>
      <c r="F1931" s="110">
        <v>318104.39</v>
      </c>
      <c r="G1931" s="110">
        <v>317954.39</v>
      </c>
      <c r="I1931" s="110">
        <v>61868.55</v>
      </c>
      <c r="J1931" s="110">
        <v>112248.88</v>
      </c>
      <c r="K1931" s="110">
        <v>141130.15</v>
      </c>
      <c r="L1931" s="110">
        <v>153713.9</v>
      </c>
    </row>
    <row r="1932" spans="1:12" x14ac:dyDescent="0.2">
      <c r="A1932" t="s">
        <v>49</v>
      </c>
      <c r="B1932" t="s">
        <v>105</v>
      </c>
      <c r="C1932" t="s">
        <v>192</v>
      </c>
      <c r="D1932" s="110">
        <v>292560.36</v>
      </c>
      <c r="E1932" s="110">
        <v>289144.78000000003</v>
      </c>
      <c r="F1932" s="110">
        <v>284983.78000000003</v>
      </c>
      <c r="I1932" s="110">
        <v>68999.740000000005</v>
      </c>
      <c r="J1932" s="110">
        <v>101178.66</v>
      </c>
      <c r="K1932" s="110">
        <v>125777.89</v>
      </c>
    </row>
    <row r="1933" spans="1:12" x14ac:dyDescent="0.2">
      <c r="A1933" t="s">
        <v>49</v>
      </c>
      <c r="B1933" t="s">
        <v>105</v>
      </c>
      <c r="C1933" t="s">
        <v>193</v>
      </c>
      <c r="D1933" s="110">
        <v>352745.11</v>
      </c>
      <c r="E1933" s="110">
        <v>344265.11</v>
      </c>
      <c r="I1933" s="110">
        <v>80297.899999999994</v>
      </c>
      <c r="J1933" s="110">
        <v>129493.72</v>
      </c>
    </row>
    <row r="1934" spans="1:12" x14ac:dyDescent="0.2">
      <c r="A1934" t="s">
        <v>49</v>
      </c>
      <c r="B1934" t="s">
        <v>105</v>
      </c>
      <c r="C1934" t="s">
        <v>194</v>
      </c>
      <c r="D1934" s="110">
        <v>300334.65000000002</v>
      </c>
      <c r="I1934" s="110">
        <v>66660.710000000006</v>
      </c>
    </row>
    <row r="1935" spans="1:12" x14ac:dyDescent="0.2">
      <c r="A1935" t="s">
        <v>49</v>
      </c>
      <c r="B1935" t="s">
        <v>111</v>
      </c>
      <c r="C1935" t="s">
        <v>191</v>
      </c>
      <c r="D1935" s="110">
        <v>53818.03</v>
      </c>
      <c r="E1935" s="110">
        <v>50917.03</v>
      </c>
      <c r="F1935" s="110">
        <v>48281.19</v>
      </c>
      <c r="G1935" s="110">
        <v>42766.69</v>
      </c>
      <c r="I1935" s="110">
        <v>815.5</v>
      </c>
      <c r="J1935" s="110">
        <v>2114.06</v>
      </c>
      <c r="K1935" s="110">
        <v>4444.0600000000004</v>
      </c>
      <c r="L1935" s="110">
        <v>5690.06</v>
      </c>
    </row>
    <row r="1936" spans="1:12" x14ac:dyDescent="0.2">
      <c r="A1936" t="s">
        <v>49</v>
      </c>
      <c r="B1936" t="s">
        <v>111</v>
      </c>
      <c r="C1936" t="s">
        <v>192</v>
      </c>
      <c r="D1936" s="110">
        <v>32120.41</v>
      </c>
      <c r="E1936" s="110">
        <v>30885.91</v>
      </c>
      <c r="F1936" s="110">
        <v>27492.91</v>
      </c>
      <c r="I1936" s="110">
        <v>1152.7</v>
      </c>
      <c r="J1936" s="110">
        <v>1503.7</v>
      </c>
      <c r="K1936" s="110">
        <v>1898.7</v>
      </c>
    </row>
    <row r="1937" spans="1:12" x14ac:dyDescent="0.2">
      <c r="A1937" t="s">
        <v>49</v>
      </c>
      <c r="B1937" t="s">
        <v>111</v>
      </c>
      <c r="C1937" t="s">
        <v>193</v>
      </c>
      <c r="D1937" s="110">
        <v>32924.11</v>
      </c>
      <c r="E1937" s="110">
        <v>31051.61</v>
      </c>
      <c r="I1937" s="110">
        <v>1354</v>
      </c>
      <c r="J1937" s="110">
        <v>2356</v>
      </c>
    </row>
    <row r="1938" spans="1:12" x14ac:dyDescent="0.2">
      <c r="A1938" t="s">
        <v>49</v>
      </c>
      <c r="B1938" t="s">
        <v>111</v>
      </c>
      <c r="C1938" t="s">
        <v>194</v>
      </c>
      <c r="D1938" s="110">
        <v>31439.65</v>
      </c>
      <c r="I1938" s="110">
        <v>1203.47</v>
      </c>
    </row>
    <row r="1939" spans="1:12" x14ac:dyDescent="0.2">
      <c r="A1939" t="s">
        <v>49</v>
      </c>
      <c r="B1939" t="s">
        <v>109</v>
      </c>
      <c r="C1939" t="s">
        <v>191</v>
      </c>
      <c r="D1939" s="110">
        <v>384861.95</v>
      </c>
      <c r="E1939" s="110">
        <v>382189.82</v>
      </c>
      <c r="F1939" s="110">
        <v>381464.82</v>
      </c>
      <c r="G1939" s="110">
        <v>377237.82</v>
      </c>
      <c r="I1939" s="110">
        <v>127954.26</v>
      </c>
      <c r="J1939" s="110">
        <v>188034.23</v>
      </c>
      <c r="K1939" s="110">
        <v>223071.23</v>
      </c>
      <c r="L1939" s="110">
        <v>236792.79</v>
      </c>
    </row>
    <row r="1940" spans="1:12" x14ac:dyDescent="0.2">
      <c r="A1940" t="s">
        <v>49</v>
      </c>
      <c r="B1940" t="s">
        <v>109</v>
      </c>
      <c r="C1940" t="s">
        <v>192</v>
      </c>
      <c r="D1940" s="110">
        <v>433654.94</v>
      </c>
      <c r="E1940" s="110">
        <v>429626.44</v>
      </c>
      <c r="F1940" s="110">
        <v>426001.44</v>
      </c>
      <c r="I1940" s="110">
        <v>150394.84</v>
      </c>
      <c r="J1940" s="110">
        <v>210520.16</v>
      </c>
      <c r="K1940" s="110">
        <v>245351.31</v>
      </c>
    </row>
    <row r="1941" spans="1:12" x14ac:dyDescent="0.2">
      <c r="A1941" t="s">
        <v>49</v>
      </c>
      <c r="B1941" t="s">
        <v>109</v>
      </c>
      <c r="C1941" t="s">
        <v>193</v>
      </c>
      <c r="D1941" s="110">
        <v>432273.73</v>
      </c>
      <c r="E1941" s="110">
        <v>432269.73</v>
      </c>
      <c r="I1941" s="110">
        <v>161807.98000000001</v>
      </c>
      <c r="J1941" s="110">
        <v>230241.14</v>
      </c>
    </row>
    <row r="1942" spans="1:12" x14ac:dyDescent="0.2">
      <c r="A1942" t="s">
        <v>49</v>
      </c>
      <c r="B1942" t="s">
        <v>109</v>
      </c>
      <c r="C1942" t="s">
        <v>194</v>
      </c>
      <c r="D1942" s="110">
        <v>380495.7</v>
      </c>
      <c r="I1942" s="110">
        <v>113936.95</v>
      </c>
    </row>
    <row r="1943" spans="1:12" x14ac:dyDescent="0.2">
      <c r="A1943" t="s">
        <v>49</v>
      </c>
      <c r="B1943" t="s">
        <v>106</v>
      </c>
      <c r="C1943" t="s">
        <v>191</v>
      </c>
      <c r="D1943" s="110">
        <v>414858.77</v>
      </c>
      <c r="E1943" s="110">
        <v>414388.77</v>
      </c>
      <c r="F1943" s="110">
        <v>413433.77</v>
      </c>
      <c r="G1943" s="110">
        <v>412428.77</v>
      </c>
      <c r="I1943" s="110">
        <v>390504.61</v>
      </c>
      <c r="J1943" s="110">
        <v>402416.61</v>
      </c>
      <c r="K1943" s="110">
        <v>401711.61</v>
      </c>
      <c r="L1943" s="110">
        <v>400880.11</v>
      </c>
    </row>
    <row r="1944" spans="1:12" x14ac:dyDescent="0.2">
      <c r="A1944" t="s">
        <v>49</v>
      </c>
      <c r="B1944" t="s">
        <v>106</v>
      </c>
      <c r="C1944" t="s">
        <v>192</v>
      </c>
      <c r="D1944" s="110">
        <v>585712.32999999996</v>
      </c>
      <c r="E1944" s="110">
        <v>585662.32999999996</v>
      </c>
      <c r="F1944" s="110">
        <v>584757.32999999996</v>
      </c>
      <c r="I1944" s="110">
        <v>557301.25</v>
      </c>
      <c r="J1944" s="110">
        <v>575535.82999999996</v>
      </c>
      <c r="K1944" s="110">
        <v>574885.82999999996</v>
      </c>
    </row>
    <row r="1945" spans="1:12" x14ac:dyDescent="0.2">
      <c r="A1945" t="s">
        <v>49</v>
      </c>
      <c r="B1945" t="s">
        <v>106</v>
      </c>
      <c r="C1945" t="s">
        <v>193</v>
      </c>
      <c r="D1945" s="110">
        <v>720487.18</v>
      </c>
      <c r="E1945" s="110">
        <v>718984.68</v>
      </c>
      <c r="I1945" s="110">
        <v>704113.68</v>
      </c>
      <c r="J1945" s="110">
        <v>711560.18</v>
      </c>
    </row>
    <row r="1946" spans="1:12" x14ac:dyDescent="0.2">
      <c r="A1946" t="s">
        <v>49</v>
      </c>
      <c r="B1946" t="s">
        <v>106</v>
      </c>
      <c r="C1946" t="s">
        <v>194</v>
      </c>
      <c r="D1946" s="110">
        <v>748880.36</v>
      </c>
      <c r="I1946" s="110">
        <v>728610.86</v>
      </c>
    </row>
    <row r="1947" spans="1:12" x14ac:dyDescent="0.2">
      <c r="A1947" t="s">
        <v>49</v>
      </c>
      <c r="B1947" t="s">
        <v>107</v>
      </c>
      <c r="C1947" t="s">
        <v>191</v>
      </c>
      <c r="D1947" s="110">
        <v>465521.62</v>
      </c>
      <c r="E1947" s="110">
        <v>464476.62</v>
      </c>
      <c r="F1947" s="110">
        <v>464426.62</v>
      </c>
      <c r="G1947" s="110">
        <v>464426.62</v>
      </c>
      <c r="I1947" s="110">
        <v>433278.03</v>
      </c>
      <c r="J1947" s="110">
        <v>462257.03</v>
      </c>
      <c r="K1947" s="110">
        <v>462346.81</v>
      </c>
      <c r="L1947" s="110">
        <v>462346.81</v>
      </c>
    </row>
    <row r="1948" spans="1:12" x14ac:dyDescent="0.2">
      <c r="A1948" t="s">
        <v>49</v>
      </c>
      <c r="B1948" t="s">
        <v>107</v>
      </c>
      <c r="C1948" t="s">
        <v>192</v>
      </c>
      <c r="D1948" s="110">
        <v>414283.42</v>
      </c>
      <c r="E1948" s="110">
        <v>413548.42</v>
      </c>
      <c r="F1948" s="110">
        <v>413548.42</v>
      </c>
      <c r="I1948" s="110">
        <v>405861.01</v>
      </c>
      <c r="J1948" s="110">
        <v>411316.87</v>
      </c>
      <c r="K1948" s="110">
        <v>411425.35</v>
      </c>
    </row>
    <row r="1949" spans="1:12" x14ac:dyDescent="0.2">
      <c r="A1949" t="s">
        <v>49</v>
      </c>
      <c r="B1949" t="s">
        <v>107</v>
      </c>
      <c r="C1949" t="s">
        <v>193</v>
      </c>
      <c r="D1949" s="110">
        <v>534958.25</v>
      </c>
      <c r="E1949" s="110">
        <v>534653.25</v>
      </c>
      <c r="I1949" s="110">
        <v>514883.13</v>
      </c>
      <c r="J1949" s="110">
        <v>530928.53</v>
      </c>
    </row>
    <row r="1950" spans="1:12" x14ac:dyDescent="0.2">
      <c r="A1950" t="s">
        <v>49</v>
      </c>
      <c r="B1950" t="s">
        <v>107</v>
      </c>
      <c r="C1950" t="s">
        <v>194</v>
      </c>
      <c r="D1950" s="110">
        <v>615803.92000000004</v>
      </c>
      <c r="I1950" s="110">
        <v>603628.16</v>
      </c>
    </row>
    <row r="1951" spans="1:12" x14ac:dyDescent="0.2">
      <c r="A1951" t="s">
        <v>49</v>
      </c>
      <c r="B1951" t="s">
        <v>108</v>
      </c>
      <c r="C1951" t="s">
        <v>191</v>
      </c>
      <c r="D1951" s="110">
        <v>72052.09</v>
      </c>
      <c r="E1951" s="110">
        <v>71821.09</v>
      </c>
      <c r="F1951" s="110">
        <v>71821.09</v>
      </c>
      <c r="G1951" s="110">
        <v>71821.09</v>
      </c>
      <c r="I1951" s="110">
        <v>70864.09</v>
      </c>
      <c r="J1951" s="110">
        <v>71815.09</v>
      </c>
      <c r="K1951" s="110">
        <v>71815.09</v>
      </c>
      <c r="L1951" s="110">
        <v>71815.09</v>
      </c>
    </row>
    <row r="1952" spans="1:12" x14ac:dyDescent="0.2">
      <c r="A1952" t="s">
        <v>49</v>
      </c>
      <c r="B1952" t="s">
        <v>108</v>
      </c>
      <c r="C1952" t="s">
        <v>192</v>
      </c>
      <c r="D1952" s="110">
        <v>79933.22</v>
      </c>
      <c r="E1952" s="110">
        <v>78987.22</v>
      </c>
      <c r="F1952" s="110">
        <v>78756.22</v>
      </c>
      <c r="I1952" s="110">
        <v>76219.22</v>
      </c>
      <c r="J1952" s="110">
        <v>78330.22</v>
      </c>
      <c r="K1952" s="110">
        <v>78330.22</v>
      </c>
    </row>
    <row r="1953" spans="1:12" x14ac:dyDescent="0.2">
      <c r="A1953" t="s">
        <v>49</v>
      </c>
      <c r="B1953" t="s">
        <v>108</v>
      </c>
      <c r="C1953" t="s">
        <v>193</v>
      </c>
      <c r="D1953" s="110">
        <v>77887.259999999995</v>
      </c>
      <c r="E1953" s="110">
        <v>77652.259999999995</v>
      </c>
      <c r="I1953" s="110">
        <v>75521.259999999995</v>
      </c>
      <c r="J1953" s="110">
        <v>77642.259999999995</v>
      </c>
    </row>
    <row r="1954" spans="1:12" x14ac:dyDescent="0.2">
      <c r="A1954" t="s">
        <v>49</v>
      </c>
      <c r="B1954" t="s">
        <v>108</v>
      </c>
      <c r="C1954" t="s">
        <v>194</v>
      </c>
      <c r="D1954" s="110">
        <v>73370.899999999994</v>
      </c>
      <c r="I1954" s="110">
        <v>71082.899999999994</v>
      </c>
    </row>
    <row r="1955" spans="1:12" x14ac:dyDescent="0.2">
      <c r="A1955" t="s">
        <v>49</v>
      </c>
      <c r="B1955" t="s">
        <v>70</v>
      </c>
      <c r="C1955" t="s">
        <v>191</v>
      </c>
      <c r="D1955" s="110">
        <v>213582.96</v>
      </c>
      <c r="E1955" s="110">
        <v>211695.99</v>
      </c>
      <c r="F1955" s="110">
        <v>211571.29</v>
      </c>
      <c r="G1955" s="110">
        <v>211439.79</v>
      </c>
      <c r="I1955" s="110">
        <v>179835.88</v>
      </c>
      <c r="J1955" s="110">
        <v>188149.59</v>
      </c>
      <c r="K1955" s="110">
        <v>192829.82</v>
      </c>
      <c r="L1955" s="110">
        <v>194318.72</v>
      </c>
    </row>
    <row r="1956" spans="1:12" x14ac:dyDescent="0.2">
      <c r="A1956" t="s">
        <v>49</v>
      </c>
      <c r="B1956" t="s">
        <v>70</v>
      </c>
      <c r="C1956" t="s">
        <v>192</v>
      </c>
      <c r="D1956" s="110">
        <v>240535.25</v>
      </c>
      <c r="E1956" s="110">
        <v>241675.45</v>
      </c>
      <c r="F1956" s="110">
        <v>241951.45</v>
      </c>
      <c r="I1956" s="110">
        <v>209047.28</v>
      </c>
      <c r="J1956" s="110">
        <v>219313.69</v>
      </c>
      <c r="K1956" s="110">
        <v>222188.27</v>
      </c>
    </row>
    <row r="1957" spans="1:12" x14ac:dyDescent="0.2">
      <c r="A1957" t="s">
        <v>49</v>
      </c>
      <c r="B1957" t="s">
        <v>70</v>
      </c>
      <c r="C1957" t="s">
        <v>193</v>
      </c>
      <c r="D1957" s="110">
        <v>251364.4</v>
      </c>
      <c r="E1957" s="110">
        <v>251617.4</v>
      </c>
      <c r="I1957" s="110">
        <v>211773.35</v>
      </c>
      <c r="J1957" s="110">
        <v>219293.16</v>
      </c>
    </row>
    <row r="1958" spans="1:12" x14ac:dyDescent="0.2">
      <c r="A1958" t="s">
        <v>49</v>
      </c>
      <c r="B1958" t="s">
        <v>70</v>
      </c>
      <c r="C1958" t="s">
        <v>194</v>
      </c>
      <c r="D1958" s="110">
        <v>253540.9</v>
      </c>
      <c r="I1958" s="110">
        <v>201645.1</v>
      </c>
    </row>
    <row r="1959" spans="1:12" x14ac:dyDescent="0.2">
      <c r="A1959" t="s">
        <v>49</v>
      </c>
      <c r="B1959" t="s">
        <v>110</v>
      </c>
      <c r="C1959" t="s">
        <v>191</v>
      </c>
      <c r="D1959" s="110">
        <v>1960815.11</v>
      </c>
      <c r="E1959" s="110">
        <v>2229234.5099999998</v>
      </c>
      <c r="F1959" s="110">
        <v>2216533.96</v>
      </c>
      <c r="G1959" s="110">
        <v>2208831.69</v>
      </c>
      <c r="I1959" s="110">
        <v>709601.95</v>
      </c>
      <c r="J1959" s="110">
        <v>1368866.23</v>
      </c>
      <c r="K1959" s="110">
        <v>1718827.46</v>
      </c>
      <c r="L1959" s="110">
        <v>1818908.66</v>
      </c>
    </row>
    <row r="1960" spans="1:12" x14ac:dyDescent="0.2">
      <c r="A1960" t="s">
        <v>49</v>
      </c>
      <c r="B1960" t="s">
        <v>110</v>
      </c>
      <c r="C1960" t="s">
        <v>192</v>
      </c>
      <c r="D1960" s="110">
        <v>2258959.63</v>
      </c>
      <c r="E1960" s="110">
        <v>2516445.06</v>
      </c>
      <c r="F1960" s="110">
        <v>2492196.37</v>
      </c>
      <c r="I1960" s="110">
        <v>918405.69</v>
      </c>
      <c r="J1960" s="110">
        <v>1628046.4</v>
      </c>
      <c r="K1960" s="110">
        <v>1945585.01</v>
      </c>
    </row>
    <row r="1961" spans="1:12" x14ac:dyDescent="0.2">
      <c r="A1961" t="s">
        <v>49</v>
      </c>
      <c r="B1961" t="s">
        <v>110</v>
      </c>
      <c r="C1961" t="s">
        <v>193</v>
      </c>
      <c r="D1961" s="110">
        <v>2493795.5699999998</v>
      </c>
      <c r="E1961" s="110">
        <v>2749045.71</v>
      </c>
      <c r="I1961" s="110">
        <v>1005368.81</v>
      </c>
      <c r="J1961" s="110">
        <v>1748828.57</v>
      </c>
    </row>
    <row r="1962" spans="1:12" x14ac:dyDescent="0.2">
      <c r="A1962" t="s">
        <v>49</v>
      </c>
      <c r="B1962" t="s">
        <v>110</v>
      </c>
      <c r="C1962" t="s">
        <v>194</v>
      </c>
      <c r="D1962" s="110">
        <v>2252181.7999999998</v>
      </c>
      <c r="I1962" s="110">
        <v>888956.29</v>
      </c>
    </row>
    <row r="1963" spans="1:12" x14ac:dyDescent="0.2">
      <c r="A1963" t="s">
        <v>50</v>
      </c>
      <c r="B1963" t="s">
        <v>104</v>
      </c>
      <c r="C1963" t="s">
        <v>191</v>
      </c>
      <c r="D1963" s="110">
        <v>3015754.41</v>
      </c>
      <c r="E1963" s="110">
        <v>2992038.41</v>
      </c>
      <c r="F1963" s="110">
        <v>2980806.6</v>
      </c>
      <c r="G1963" s="110">
        <v>2973364.28</v>
      </c>
      <c r="I1963" s="110">
        <v>84686.62</v>
      </c>
      <c r="J1963" s="110">
        <v>128873.49</v>
      </c>
      <c r="K1963" s="110">
        <v>170283.69</v>
      </c>
      <c r="L1963" s="110">
        <v>205038.91</v>
      </c>
    </row>
    <row r="1964" spans="1:12" x14ac:dyDescent="0.2">
      <c r="A1964" t="s">
        <v>50</v>
      </c>
      <c r="B1964" t="s">
        <v>104</v>
      </c>
      <c r="C1964" t="s">
        <v>192</v>
      </c>
      <c r="D1964" s="110">
        <v>2886754.38</v>
      </c>
      <c r="E1964" s="110">
        <v>2872021.87</v>
      </c>
      <c r="F1964" s="110">
        <v>2866757.79</v>
      </c>
      <c r="I1964" s="110">
        <v>84129.78</v>
      </c>
      <c r="J1964" s="110">
        <v>128934.25</v>
      </c>
      <c r="K1964" s="110">
        <v>168341.59</v>
      </c>
    </row>
    <row r="1965" spans="1:12" x14ac:dyDescent="0.2">
      <c r="A1965" t="s">
        <v>50</v>
      </c>
      <c r="B1965" t="s">
        <v>104</v>
      </c>
      <c r="C1965" t="s">
        <v>193</v>
      </c>
      <c r="D1965" s="110">
        <v>3422658.63</v>
      </c>
      <c r="E1965" s="110">
        <v>3408181.16</v>
      </c>
      <c r="I1965" s="110">
        <v>82347.259999999995</v>
      </c>
      <c r="J1965" s="110">
        <v>129800.21</v>
      </c>
    </row>
    <row r="1966" spans="1:12" x14ac:dyDescent="0.2">
      <c r="A1966" t="s">
        <v>50</v>
      </c>
      <c r="B1966" t="s">
        <v>104</v>
      </c>
      <c r="C1966" t="s">
        <v>194</v>
      </c>
      <c r="D1966" s="110">
        <v>3335310.04</v>
      </c>
      <c r="I1966" s="110">
        <v>84012.08</v>
      </c>
    </row>
    <row r="1967" spans="1:12" x14ac:dyDescent="0.2">
      <c r="A1967" t="s">
        <v>50</v>
      </c>
      <c r="B1967" t="s">
        <v>140</v>
      </c>
      <c r="C1967" t="s">
        <v>191</v>
      </c>
      <c r="D1967" s="110">
        <v>1791886</v>
      </c>
      <c r="E1967" s="110">
        <v>1791886</v>
      </c>
      <c r="F1967" s="110">
        <v>1791886</v>
      </c>
      <c r="G1967" s="110">
        <v>1791886</v>
      </c>
    </row>
    <row r="1968" spans="1:12" x14ac:dyDescent="0.2">
      <c r="A1968" t="s">
        <v>50</v>
      </c>
      <c r="B1968" t="s">
        <v>140</v>
      </c>
      <c r="C1968" t="s">
        <v>192</v>
      </c>
      <c r="D1968" s="110">
        <v>1729394.5</v>
      </c>
      <c r="E1968" s="110">
        <v>1413554.5</v>
      </c>
      <c r="F1968" s="110">
        <v>1413554.5</v>
      </c>
      <c r="I1968" s="110">
        <v>1348.17</v>
      </c>
      <c r="J1968" s="110">
        <v>1513.95</v>
      </c>
      <c r="K1968" s="110">
        <v>1659.19</v>
      </c>
    </row>
    <row r="1969" spans="1:12" x14ac:dyDescent="0.2">
      <c r="A1969" t="s">
        <v>50</v>
      </c>
      <c r="B1969" t="s">
        <v>140</v>
      </c>
      <c r="C1969" t="s">
        <v>193</v>
      </c>
      <c r="D1969" s="110">
        <v>1901418</v>
      </c>
      <c r="E1969" s="110">
        <v>1901418</v>
      </c>
    </row>
    <row r="1970" spans="1:12" x14ac:dyDescent="0.2">
      <c r="A1970" t="s">
        <v>50</v>
      </c>
      <c r="B1970" t="s">
        <v>140</v>
      </c>
      <c r="C1970" t="s">
        <v>194</v>
      </c>
      <c r="D1970" s="110">
        <v>2030754</v>
      </c>
      <c r="I1970" s="110">
        <v>1</v>
      </c>
    </row>
    <row r="1971" spans="1:12" x14ac:dyDescent="0.2">
      <c r="A1971" t="s">
        <v>50</v>
      </c>
      <c r="B1971" t="s">
        <v>105</v>
      </c>
      <c r="C1971" t="s">
        <v>191</v>
      </c>
      <c r="D1971" s="110">
        <v>935910.35</v>
      </c>
      <c r="E1971" s="110">
        <v>923974.66</v>
      </c>
      <c r="F1971" s="110">
        <v>910984.68</v>
      </c>
      <c r="G1971" s="110">
        <v>907329.49</v>
      </c>
      <c r="I1971" s="110">
        <v>172153.1</v>
      </c>
      <c r="J1971" s="110">
        <v>232655.73</v>
      </c>
      <c r="K1971" s="110">
        <v>271591.39</v>
      </c>
      <c r="L1971" s="110">
        <v>304732.61</v>
      </c>
    </row>
    <row r="1972" spans="1:12" x14ac:dyDescent="0.2">
      <c r="A1972" t="s">
        <v>50</v>
      </c>
      <c r="B1972" t="s">
        <v>105</v>
      </c>
      <c r="C1972" t="s">
        <v>192</v>
      </c>
      <c r="D1972" s="110">
        <v>1137725.03</v>
      </c>
      <c r="E1972" s="110">
        <v>1123124.76</v>
      </c>
      <c r="F1972" s="110">
        <v>1111562.6299999999</v>
      </c>
      <c r="I1972" s="110">
        <v>204556.58</v>
      </c>
      <c r="J1972" s="110">
        <v>277677.05</v>
      </c>
      <c r="K1972" s="110">
        <v>321813.31</v>
      </c>
    </row>
    <row r="1973" spans="1:12" x14ac:dyDescent="0.2">
      <c r="A1973" t="s">
        <v>50</v>
      </c>
      <c r="B1973" t="s">
        <v>105</v>
      </c>
      <c r="C1973" t="s">
        <v>193</v>
      </c>
      <c r="D1973" s="110">
        <v>1080550</v>
      </c>
      <c r="E1973" s="110">
        <v>1069974.78</v>
      </c>
      <c r="I1973" s="110">
        <v>200569.79</v>
      </c>
      <c r="J1973" s="110">
        <v>275271.36</v>
      </c>
    </row>
    <row r="1974" spans="1:12" x14ac:dyDescent="0.2">
      <c r="A1974" t="s">
        <v>50</v>
      </c>
      <c r="B1974" t="s">
        <v>105</v>
      </c>
      <c r="C1974" t="s">
        <v>194</v>
      </c>
      <c r="D1974" s="110">
        <v>999413.46</v>
      </c>
      <c r="I1974" s="110">
        <v>178071.29</v>
      </c>
    </row>
    <row r="1975" spans="1:12" x14ac:dyDescent="0.2">
      <c r="A1975" t="s">
        <v>50</v>
      </c>
      <c r="B1975" t="s">
        <v>111</v>
      </c>
      <c r="C1975" t="s">
        <v>191</v>
      </c>
      <c r="D1975" s="110">
        <v>50715</v>
      </c>
      <c r="E1975" s="110">
        <v>53807</v>
      </c>
      <c r="F1975" s="110">
        <v>53757</v>
      </c>
      <c r="G1975" s="110">
        <v>52817</v>
      </c>
      <c r="I1975" s="110">
        <v>1571.46</v>
      </c>
      <c r="J1975" s="110">
        <v>2199.5</v>
      </c>
      <c r="K1975" s="110">
        <v>2707.5</v>
      </c>
      <c r="L1975" s="110">
        <v>3016.71</v>
      </c>
    </row>
    <row r="1976" spans="1:12" x14ac:dyDescent="0.2">
      <c r="A1976" t="s">
        <v>50</v>
      </c>
      <c r="B1976" t="s">
        <v>111</v>
      </c>
      <c r="C1976" t="s">
        <v>192</v>
      </c>
      <c r="D1976" s="110">
        <v>59390</v>
      </c>
      <c r="E1976" s="110">
        <v>59389</v>
      </c>
      <c r="F1976" s="110">
        <v>58600</v>
      </c>
      <c r="I1976" s="110">
        <v>1719.73</v>
      </c>
      <c r="J1976" s="110">
        <v>2447.69</v>
      </c>
      <c r="K1976" s="110">
        <v>3275.75</v>
      </c>
    </row>
    <row r="1977" spans="1:12" x14ac:dyDescent="0.2">
      <c r="A1977" t="s">
        <v>50</v>
      </c>
      <c r="B1977" t="s">
        <v>111</v>
      </c>
      <c r="C1977" t="s">
        <v>193</v>
      </c>
      <c r="D1977" s="110">
        <v>72380</v>
      </c>
      <c r="E1977" s="110">
        <v>73120</v>
      </c>
      <c r="I1977" s="110">
        <v>1959</v>
      </c>
      <c r="J1977" s="110">
        <v>3219.2</v>
      </c>
    </row>
    <row r="1978" spans="1:12" x14ac:dyDescent="0.2">
      <c r="A1978" t="s">
        <v>50</v>
      </c>
      <c r="B1978" t="s">
        <v>111</v>
      </c>
      <c r="C1978" t="s">
        <v>194</v>
      </c>
      <c r="D1978" s="110">
        <v>56608</v>
      </c>
      <c r="I1978" s="110">
        <v>2080.38</v>
      </c>
    </row>
    <row r="1979" spans="1:12" x14ac:dyDescent="0.2">
      <c r="A1979" t="s">
        <v>50</v>
      </c>
      <c r="B1979" t="s">
        <v>109</v>
      </c>
      <c r="C1979" t="s">
        <v>191</v>
      </c>
      <c r="D1979" s="110">
        <v>1677267.37</v>
      </c>
      <c r="E1979" s="110">
        <v>1650812.23</v>
      </c>
      <c r="F1979" s="110">
        <v>1635318.54</v>
      </c>
      <c r="G1979" s="110">
        <v>1619783.76</v>
      </c>
      <c r="I1979" s="110">
        <v>399235.68</v>
      </c>
      <c r="J1979" s="110">
        <v>596952.41</v>
      </c>
      <c r="K1979" s="110">
        <v>713582.81</v>
      </c>
      <c r="L1979" s="110">
        <v>824214.89</v>
      </c>
    </row>
    <row r="1980" spans="1:12" x14ac:dyDescent="0.2">
      <c r="A1980" t="s">
        <v>50</v>
      </c>
      <c r="B1980" t="s">
        <v>109</v>
      </c>
      <c r="C1980" t="s">
        <v>192</v>
      </c>
      <c r="D1980" s="110">
        <v>1776670.21</v>
      </c>
      <c r="E1980" s="110">
        <v>1746720.02</v>
      </c>
      <c r="F1980" s="110">
        <v>1729845.18</v>
      </c>
      <c r="I1980" s="110">
        <v>479505.28</v>
      </c>
      <c r="J1980" s="110">
        <v>673414.33</v>
      </c>
      <c r="K1980" s="110">
        <v>792740.65</v>
      </c>
    </row>
    <row r="1981" spans="1:12" x14ac:dyDescent="0.2">
      <c r="A1981" t="s">
        <v>50</v>
      </c>
      <c r="B1981" t="s">
        <v>109</v>
      </c>
      <c r="C1981" t="s">
        <v>193</v>
      </c>
      <c r="D1981" s="110">
        <v>1762456.84</v>
      </c>
      <c r="E1981" s="110">
        <v>1740517.36</v>
      </c>
      <c r="I1981" s="110">
        <v>415411.76</v>
      </c>
      <c r="J1981" s="110">
        <v>575190.32999999996</v>
      </c>
    </row>
    <row r="1982" spans="1:12" x14ac:dyDescent="0.2">
      <c r="A1982" t="s">
        <v>50</v>
      </c>
      <c r="B1982" t="s">
        <v>109</v>
      </c>
      <c r="C1982" t="s">
        <v>194</v>
      </c>
      <c r="D1982" s="110">
        <v>1663986.2</v>
      </c>
      <c r="I1982" s="110">
        <v>409062.5</v>
      </c>
    </row>
    <row r="1983" spans="1:12" x14ac:dyDescent="0.2">
      <c r="A1983" t="s">
        <v>50</v>
      </c>
      <c r="B1983" t="s">
        <v>106</v>
      </c>
      <c r="C1983" t="s">
        <v>191</v>
      </c>
      <c r="D1983" s="110">
        <v>2134791.67</v>
      </c>
      <c r="E1983" s="110">
        <v>2132674.17</v>
      </c>
      <c r="F1983" s="110">
        <v>2120386.67</v>
      </c>
      <c r="G1983" s="110">
        <v>2115460.67</v>
      </c>
      <c r="I1983" s="110">
        <v>2093285.46</v>
      </c>
      <c r="J1983" s="110">
        <v>2098080.25</v>
      </c>
      <c r="K1983" s="110">
        <v>2086371.25</v>
      </c>
      <c r="L1983" s="110">
        <v>2081656.42</v>
      </c>
    </row>
    <row r="1984" spans="1:12" x14ac:dyDescent="0.2">
      <c r="A1984" t="s">
        <v>50</v>
      </c>
      <c r="B1984" t="s">
        <v>106</v>
      </c>
      <c r="C1984" t="s">
        <v>192</v>
      </c>
      <c r="D1984" s="110">
        <v>2708633.96</v>
      </c>
      <c r="E1984" s="110">
        <v>2696455.46</v>
      </c>
      <c r="F1984" s="110">
        <v>2689210.46</v>
      </c>
      <c r="I1984" s="110">
        <v>2654491.0299999998</v>
      </c>
      <c r="J1984" s="110">
        <v>2660567.2200000002</v>
      </c>
      <c r="K1984" s="110">
        <v>2654738.79</v>
      </c>
    </row>
    <row r="1985" spans="1:12" x14ac:dyDescent="0.2">
      <c r="A1985" t="s">
        <v>50</v>
      </c>
      <c r="B1985" t="s">
        <v>106</v>
      </c>
      <c r="C1985" t="s">
        <v>193</v>
      </c>
      <c r="D1985" s="110">
        <v>3339206.71</v>
      </c>
      <c r="E1985" s="110">
        <v>3337284.71</v>
      </c>
      <c r="I1985" s="110">
        <v>3286814.22</v>
      </c>
      <c r="J1985" s="110">
        <v>3300924.66</v>
      </c>
    </row>
    <row r="1986" spans="1:12" x14ac:dyDescent="0.2">
      <c r="A1986" t="s">
        <v>50</v>
      </c>
      <c r="B1986" t="s">
        <v>106</v>
      </c>
      <c r="C1986" t="s">
        <v>194</v>
      </c>
      <c r="D1986" s="110">
        <v>2917323.64</v>
      </c>
      <c r="I1986" s="110">
        <v>2853519.55</v>
      </c>
    </row>
    <row r="1987" spans="1:12" x14ac:dyDescent="0.2">
      <c r="A1987" t="s">
        <v>50</v>
      </c>
      <c r="B1987" t="s">
        <v>107</v>
      </c>
      <c r="C1987" t="s">
        <v>191</v>
      </c>
      <c r="D1987" s="110">
        <v>2135571.35</v>
      </c>
      <c r="E1987" s="110">
        <v>2112842.85</v>
      </c>
      <c r="F1987" s="110">
        <v>2111982.85</v>
      </c>
      <c r="G1987" s="110">
        <v>2110937.85</v>
      </c>
      <c r="I1987" s="110">
        <v>2122777.65</v>
      </c>
      <c r="J1987" s="110">
        <v>2106046.15</v>
      </c>
      <c r="K1987" s="110">
        <v>2105566.15</v>
      </c>
      <c r="L1987" s="110">
        <v>2105366.15</v>
      </c>
    </row>
    <row r="1988" spans="1:12" x14ac:dyDescent="0.2">
      <c r="A1988" t="s">
        <v>50</v>
      </c>
      <c r="B1988" t="s">
        <v>107</v>
      </c>
      <c r="C1988" t="s">
        <v>192</v>
      </c>
      <c r="D1988" s="110">
        <v>2278078.79</v>
      </c>
      <c r="E1988" s="110">
        <v>2275858.79</v>
      </c>
      <c r="F1988" s="110">
        <v>2275129.19</v>
      </c>
      <c r="I1988" s="110">
        <v>2272406.08</v>
      </c>
      <c r="J1988" s="110">
        <v>2271625.2599999998</v>
      </c>
      <c r="K1988" s="110">
        <v>2271256.2599999998</v>
      </c>
    </row>
    <row r="1989" spans="1:12" x14ac:dyDescent="0.2">
      <c r="A1989" t="s">
        <v>50</v>
      </c>
      <c r="B1989" t="s">
        <v>107</v>
      </c>
      <c r="C1989" t="s">
        <v>193</v>
      </c>
      <c r="D1989" s="110">
        <v>2335301.42</v>
      </c>
      <c r="E1989" s="110">
        <v>2332254.42</v>
      </c>
      <c r="I1989" s="110">
        <v>2327469.04</v>
      </c>
      <c r="J1989" s="110">
        <v>2327799.04</v>
      </c>
    </row>
    <row r="1990" spans="1:12" x14ac:dyDescent="0.2">
      <c r="A1990" t="s">
        <v>50</v>
      </c>
      <c r="B1990" t="s">
        <v>107</v>
      </c>
      <c r="C1990" t="s">
        <v>194</v>
      </c>
      <c r="D1990" s="110">
        <v>2420116.06</v>
      </c>
      <c r="I1990" s="110">
        <v>2412997.71</v>
      </c>
    </row>
    <row r="1991" spans="1:12" x14ac:dyDescent="0.2">
      <c r="A1991" t="s">
        <v>50</v>
      </c>
      <c r="B1991" t="s">
        <v>108</v>
      </c>
      <c r="C1991" t="s">
        <v>191</v>
      </c>
      <c r="D1991" s="110">
        <v>595632.84</v>
      </c>
      <c r="E1991" s="110">
        <v>590358.84</v>
      </c>
      <c r="F1991" s="110">
        <v>587417.84</v>
      </c>
      <c r="G1991" s="110">
        <v>587768.84</v>
      </c>
      <c r="I1991" s="110">
        <v>585949.80000000005</v>
      </c>
      <c r="J1991" s="110">
        <v>586348.93000000005</v>
      </c>
      <c r="K1991" s="110">
        <v>583815.54</v>
      </c>
      <c r="L1991" s="110">
        <v>584605.54</v>
      </c>
    </row>
    <row r="1992" spans="1:12" x14ac:dyDescent="0.2">
      <c r="A1992" t="s">
        <v>50</v>
      </c>
      <c r="B1992" t="s">
        <v>108</v>
      </c>
      <c r="C1992" t="s">
        <v>192</v>
      </c>
      <c r="D1992" s="110">
        <v>638016.5</v>
      </c>
      <c r="E1992" s="110">
        <v>632529.5</v>
      </c>
      <c r="F1992" s="110">
        <v>631030.5</v>
      </c>
      <c r="I1992" s="110">
        <v>631361.15</v>
      </c>
      <c r="J1992" s="110">
        <v>629393.66</v>
      </c>
      <c r="K1992" s="110">
        <v>627659.66</v>
      </c>
    </row>
    <row r="1993" spans="1:12" x14ac:dyDescent="0.2">
      <c r="A1993" t="s">
        <v>50</v>
      </c>
      <c r="B1993" t="s">
        <v>108</v>
      </c>
      <c r="C1993" t="s">
        <v>193</v>
      </c>
      <c r="D1993" s="110">
        <v>658716.05000000005</v>
      </c>
      <c r="E1993" s="110">
        <v>653421.05000000005</v>
      </c>
      <c r="I1993" s="110">
        <v>648720.27</v>
      </c>
      <c r="J1993" s="110">
        <v>647181.61</v>
      </c>
    </row>
    <row r="1994" spans="1:12" x14ac:dyDescent="0.2">
      <c r="A1994" t="s">
        <v>50</v>
      </c>
      <c r="B1994" t="s">
        <v>108</v>
      </c>
      <c r="C1994" t="s">
        <v>194</v>
      </c>
      <c r="D1994" s="110">
        <v>574647.81999999995</v>
      </c>
      <c r="I1994" s="110">
        <v>566891.43999999994</v>
      </c>
    </row>
    <row r="1995" spans="1:12" x14ac:dyDescent="0.2">
      <c r="A1995" t="s">
        <v>50</v>
      </c>
      <c r="B1995" t="s">
        <v>70</v>
      </c>
      <c r="C1995" t="s">
        <v>191</v>
      </c>
      <c r="D1995" s="110">
        <v>703096.8</v>
      </c>
      <c r="E1995" s="110">
        <v>702085.9</v>
      </c>
      <c r="F1995" s="110">
        <v>701076.9</v>
      </c>
      <c r="G1995" s="110">
        <v>700266.9</v>
      </c>
      <c r="I1995" s="110">
        <v>678391.09</v>
      </c>
      <c r="J1995" s="110">
        <v>683076</v>
      </c>
      <c r="K1995" s="110">
        <v>682842.16</v>
      </c>
      <c r="L1995" s="110">
        <v>683504.01</v>
      </c>
    </row>
    <row r="1996" spans="1:12" x14ac:dyDescent="0.2">
      <c r="A1996" t="s">
        <v>50</v>
      </c>
      <c r="B1996" t="s">
        <v>70</v>
      </c>
      <c r="C1996" t="s">
        <v>192</v>
      </c>
      <c r="D1996" s="110">
        <v>740159.1</v>
      </c>
      <c r="E1996" s="110">
        <v>737845.6</v>
      </c>
      <c r="F1996" s="110">
        <v>737135.6</v>
      </c>
      <c r="I1996" s="110">
        <v>712896.83</v>
      </c>
      <c r="J1996" s="110">
        <v>716563.96</v>
      </c>
      <c r="K1996" s="110">
        <v>716824.96</v>
      </c>
    </row>
    <row r="1997" spans="1:12" x14ac:dyDescent="0.2">
      <c r="A1997" t="s">
        <v>50</v>
      </c>
      <c r="B1997" t="s">
        <v>70</v>
      </c>
      <c r="C1997" t="s">
        <v>193</v>
      </c>
      <c r="D1997" s="110">
        <v>810559.7</v>
      </c>
      <c r="E1997" s="110">
        <v>807544.2</v>
      </c>
      <c r="I1997" s="110">
        <v>772671.07</v>
      </c>
      <c r="J1997" s="110">
        <v>779438</v>
      </c>
    </row>
    <row r="1998" spans="1:12" x14ac:dyDescent="0.2">
      <c r="A1998" t="s">
        <v>50</v>
      </c>
      <c r="B1998" t="s">
        <v>70</v>
      </c>
      <c r="C1998" t="s">
        <v>194</v>
      </c>
      <c r="D1998" s="110">
        <v>749563.65</v>
      </c>
      <c r="I1998" s="110">
        <v>715424.47</v>
      </c>
    </row>
    <row r="1999" spans="1:12" x14ac:dyDescent="0.2">
      <c r="A1999" t="s">
        <v>50</v>
      </c>
      <c r="B1999" t="s">
        <v>110</v>
      </c>
      <c r="C1999" t="s">
        <v>191</v>
      </c>
      <c r="D1999" s="110">
        <v>5443092.8600000003</v>
      </c>
      <c r="E1999" s="110">
        <v>4934790.0599999996</v>
      </c>
      <c r="F1999" s="110">
        <v>4910157.0599999996</v>
      </c>
      <c r="G1999" s="110">
        <v>4902265.8099999996</v>
      </c>
      <c r="I1999" s="110">
        <v>2465505.0699999998</v>
      </c>
      <c r="J1999" s="110">
        <v>4136746.33</v>
      </c>
      <c r="K1999" s="110">
        <v>4341882.6399999997</v>
      </c>
      <c r="L1999" s="110">
        <v>4419349.5599999996</v>
      </c>
    </row>
    <row r="2000" spans="1:12" x14ac:dyDescent="0.2">
      <c r="A2000" t="s">
        <v>50</v>
      </c>
      <c r="B2000" t="s">
        <v>110</v>
      </c>
      <c r="C2000" t="s">
        <v>192</v>
      </c>
      <c r="D2000" s="110">
        <v>6764794.9500000002</v>
      </c>
      <c r="E2000" s="110">
        <v>6129054.25</v>
      </c>
      <c r="F2000" s="110">
        <v>6087914.25</v>
      </c>
      <c r="I2000" s="110">
        <v>3212177.01</v>
      </c>
      <c r="J2000" s="110">
        <v>5148581.16</v>
      </c>
      <c r="K2000" s="110">
        <v>5379344.8399999999</v>
      </c>
    </row>
    <row r="2001" spans="1:12" x14ac:dyDescent="0.2">
      <c r="A2001" t="s">
        <v>50</v>
      </c>
      <c r="B2001" t="s">
        <v>110</v>
      </c>
      <c r="C2001" t="s">
        <v>193</v>
      </c>
      <c r="D2001" s="110">
        <v>6414631.2000000002</v>
      </c>
      <c r="E2001" s="110">
        <v>578510.05000000005</v>
      </c>
      <c r="I2001" s="110">
        <v>2788719.67</v>
      </c>
      <c r="J2001" s="110">
        <v>4627273.3</v>
      </c>
    </row>
    <row r="2002" spans="1:12" x14ac:dyDescent="0.2">
      <c r="A2002" t="s">
        <v>50</v>
      </c>
      <c r="B2002" t="s">
        <v>110</v>
      </c>
      <c r="C2002" t="s">
        <v>194</v>
      </c>
      <c r="D2002" s="110">
        <v>6307067.0999999996</v>
      </c>
      <c r="I2002" s="110">
        <v>2714944.67</v>
      </c>
    </row>
    <row r="2003" spans="1:12" x14ac:dyDescent="0.2">
      <c r="A2003" t="s">
        <v>51</v>
      </c>
      <c r="B2003" t="s">
        <v>104</v>
      </c>
      <c r="C2003" t="s">
        <v>191</v>
      </c>
      <c r="D2003" s="110">
        <v>1375669.95</v>
      </c>
      <c r="E2003" s="110">
        <v>1378338.45</v>
      </c>
      <c r="F2003" s="110">
        <v>1416141.45</v>
      </c>
      <c r="G2003" s="110">
        <v>1412442.06</v>
      </c>
      <c r="I2003" s="110">
        <v>37987.97</v>
      </c>
      <c r="J2003" s="110">
        <v>84217.14</v>
      </c>
      <c r="K2003" s="110">
        <v>112825.60000000001</v>
      </c>
      <c r="L2003" s="110">
        <v>149649</v>
      </c>
    </row>
    <row r="2004" spans="1:12" x14ac:dyDescent="0.2">
      <c r="A2004" t="s">
        <v>51</v>
      </c>
      <c r="B2004" t="s">
        <v>104</v>
      </c>
      <c r="C2004" t="s">
        <v>192</v>
      </c>
      <c r="D2004" s="110">
        <v>1886496.71</v>
      </c>
      <c r="E2004" s="110">
        <v>1993055.22</v>
      </c>
      <c r="F2004" s="110">
        <v>2101781.2999999998</v>
      </c>
      <c r="I2004" s="110">
        <v>41844.17</v>
      </c>
      <c r="J2004" s="110">
        <v>92595.34</v>
      </c>
      <c r="K2004" s="110">
        <v>191897.62</v>
      </c>
    </row>
    <row r="2005" spans="1:12" x14ac:dyDescent="0.2">
      <c r="A2005" t="s">
        <v>51</v>
      </c>
      <c r="B2005" t="s">
        <v>104</v>
      </c>
      <c r="C2005" t="s">
        <v>193</v>
      </c>
      <c r="D2005" s="110">
        <v>1277285.48</v>
      </c>
      <c r="E2005" s="110">
        <v>1334857.98</v>
      </c>
      <c r="I2005" s="110">
        <v>38755.53</v>
      </c>
      <c r="J2005" s="110">
        <v>79593.81</v>
      </c>
    </row>
    <row r="2006" spans="1:12" x14ac:dyDescent="0.2">
      <c r="A2006" t="s">
        <v>51</v>
      </c>
      <c r="B2006" t="s">
        <v>104</v>
      </c>
      <c r="C2006" t="s">
        <v>194</v>
      </c>
      <c r="D2006" s="110">
        <v>1733633.04</v>
      </c>
      <c r="I2006" s="110">
        <v>42730.39</v>
      </c>
    </row>
    <row r="2007" spans="1:12" x14ac:dyDescent="0.2">
      <c r="A2007" t="s">
        <v>51</v>
      </c>
      <c r="B2007" t="s">
        <v>140</v>
      </c>
      <c r="C2007" t="s">
        <v>191</v>
      </c>
      <c r="D2007" s="110">
        <v>265968</v>
      </c>
      <c r="E2007" s="110">
        <v>265968</v>
      </c>
      <c r="F2007" s="110">
        <v>293184</v>
      </c>
      <c r="G2007" s="110">
        <v>293184</v>
      </c>
      <c r="K2007" s="110">
        <v>6.47</v>
      </c>
      <c r="L2007" s="110">
        <v>197.78</v>
      </c>
    </row>
    <row r="2008" spans="1:12" x14ac:dyDescent="0.2">
      <c r="A2008" t="s">
        <v>51</v>
      </c>
      <c r="B2008" t="s">
        <v>140</v>
      </c>
      <c r="C2008" t="s">
        <v>192</v>
      </c>
      <c r="D2008" s="110">
        <v>482722.84</v>
      </c>
      <c r="E2008" s="110">
        <v>585222.84</v>
      </c>
      <c r="F2008" s="110">
        <v>692722.84</v>
      </c>
      <c r="I2008" s="110">
        <v>57.84</v>
      </c>
      <c r="J2008" s="110">
        <v>57.84</v>
      </c>
      <c r="K2008" s="110">
        <v>55601.29</v>
      </c>
    </row>
    <row r="2009" spans="1:12" x14ac:dyDescent="0.2">
      <c r="A2009" t="s">
        <v>51</v>
      </c>
      <c r="B2009" t="s">
        <v>140</v>
      </c>
      <c r="C2009" t="s">
        <v>193</v>
      </c>
      <c r="D2009" s="110">
        <v>160219</v>
      </c>
      <c r="E2009" s="110">
        <v>212719</v>
      </c>
      <c r="J2009" s="110">
        <v>500</v>
      </c>
    </row>
    <row r="2010" spans="1:12" x14ac:dyDescent="0.2">
      <c r="A2010" t="s">
        <v>51</v>
      </c>
      <c r="B2010" t="s">
        <v>140</v>
      </c>
      <c r="C2010" t="s">
        <v>194</v>
      </c>
      <c r="D2010" s="110">
        <v>377388</v>
      </c>
      <c r="I2010" s="110">
        <v>7</v>
      </c>
    </row>
    <row r="2011" spans="1:12" x14ac:dyDescent="0.2">
      <c r="A2011" t="s">
        <v>51</v>
      </c>
      <c r="B2011" t="s">
        <v>105</v>
      </c>
      <c r="C2011" t="s">
        <v>191</v>
      </c>
      <c r="D2011" s="110">
        <v>732290.3</v>
      </c>
      <c r="E2011" s="110">
        <v>718656.82</v>
      </c>
      <c r="F2011" s="110">
        <v>713148.83</v>
      </c>
      <c r="G2011" s="110">
        <v>711360.83</v>
      </c>
      <c r="I2011" s="110">
        <v>125758.34</v>
      </c>
      <c r="J2011" s="110">
        <v>204142.41</v>
      </c>
      <c r="K2011" s="110">
        <v>231523.72</v>
      </c>
      <c r="L2011" s="110">
        <v>257926.47</v>
      </c>
    </row>
    <row r="2012" spans="1:12" x14ac:dyDescent="0.2">
      <c r="A2012" t="s">
        <v>51</v>
      </c>
      <c r="B2012" t="s">
        <v>105</v>
      </c>
      <c r="C2012" t="s">
        <v>192</v>
      </c>
      <c r="D2012" s="110">
        <v>738200.93</v>
      </c>
      <c r="E2012" s="110">
        <v>737654.43</v>
      </c>
      <c r="F2012" s="110">
        <v>737008.43</v>
      </c>
      <c r="I2012" s="110">
        <v>175721.84</v>
      </c>
      <c r="J2012" s="110">
        <v>266837.86</v>
      </c>
      <c r="K2012" s="110">
        <v>296786.46000000002</v>
      </c>
    </row>
    <row r="2013" spans="1:12" x14ac:dyDescent="0.2">
      <c r="A2013" t="s">
        <v>51</v>
      </c>
      <c r="B2013" t="s">
        <v>105</v>
      </c>
      <c r="C2013" t="s">
        <v>193</v>
      </c>
      <c r="D2013" s="110">
        <v>776845.35</v>
      </c>
      <c r="E2013" s="110">
        <v>776082.85</v>
      </c>
      <c r="I2013" s="110">
        <v>180414.6</v>
      </c>
      <c r="J2013" s="110">
        <v>266565.88</v>
      </c>
    </row>
    <row r="2014" spans="1:12" x14ac:dyDescent="0.2">
      <c r="A2014" t="s">
        <v>51</v>
      </c>
      <c r="B2014" t="s">
        <v>105</v>
      </c>
      <c r="C2014" t="s">
        <v>194</v>
      </c>
      <c r="D2014" s="110">
        <v>755423.25</v>
      </c>
      <c r="I2014" s="110">
        <v>176300.55</v>
      </c>
    </row>
    <row r="2015" spans="1:12" x14ac:dyDescent="0.2">
      <c r="A2015" t="s">
        <v>51</v>
      </c>
      <c r="B2015" t="s">
        <v>111</v>
      </c>
      <c r="C2015" t="s">
        <v>191</v>
      </c>
      <c r="D2015" s="110">
        <v>54671</v>
      </c>
      <c r="E2015" s="110">
        <v>54048.25</v>
      </c>
      <c r="F2015" s="110">
        <v>54073.25</v>
      </c>
      <c r="G2015" s="110">
        <v>53630.25</v>
      </c>
      <c r="I2015" s="110">
        <v>2972</v>
      </c>
      <c r="J2015" s="110">
        <v>7981.25</v>
      </c>
      <c r="K2015" s="110">
        <v>9694.25</v>
      </c>
      <c r="L2015" s="110">
        <v>10506.25</v>
      </c>
    </row>
    <row r="2016" spans="1:12" x14ac:dyDescent="0.2">
      <c r="A2016" t="s">
        <v>51</v>
      </c>
      <c r="B2016" t="s">
        <v>111</v>
      </c>
      <c r="C2016" t="s">
        <v>192</v>
      </c>
      <c r="D2016" s="110">
        <v>61507.79</v>
      </c>
      <c r="E2016" s="110">
        <v>60607.29</v>
      </c>
      <c r="F2016" s="110">
        <v>60056.29</v>
      </c>
      <c r="I2016" s="110">
        <v>3422</v>
      </c>
      <c r="J2016" s="110">
        <v>7080.5</v>
      </c>
      <c r="K2016" s="110">
        <v>7735</v>
      </c>
    </row>
    <row r="2017" spans="1:12" x14ac:dyDescent="0.2">
      <c r="A2017" t="s">
        <v>51</v>
      </c>
      <c r="B2017" t="s">
        <v>111</v>
      </c>
      <c r="C2017" t="s">
        <v>193</v>
      </c>
      <c r="D2017" s="110">
        <v>34708.519999999997</v>
      </c>
      <c r="E2017" s="110">
        <v>34480.720000000001</v>
      </c>
      <c r="I2017" s="110">
        <v>1914</v>
      </c>
      <c r="J2017" s="110">
        <v>4466.7</v>
      </c>
    </row>
    <row r="2018" spans="1:12" x14ac:dyDescent="0.2">
      <c r="A2018" t="s">
        <v>51</v>
      </c>
      <c r="B2018" t="s">
        <v>111</v>
      </c>
      <c r="C2018" t="s">
        <v>194</v>
      </c>
      <c r="D2018" s="110">
        <v>42827.839999999997</v>
      </c>
      <c r="I2018" s="110">
        <v>2393</v>
      </c>
    </row>
    <row r="2019" spans="1:12" x14ac:dyDescent="0.2">
      <c r="A2019" t="s">
        <v>51</v>
      </c>
      <c r="B2019" t="s">
        <v>109</v>
      </c>
      <c r="C2019" t="s">
        <v>191</v>
      </c>
      <c r="D2019" s="110">
        <v>467763.3</v>
      </c>
      <c r="E2019" s="110">
        <v>468375.05</v>
      </c>
      <c r="F2019" s="110">
        <v>467941.05</v>
      </c>
      <c r="G2019" s="110">
        <v>467567.55</v>
      </c>
      <c r="I2019" s="110">
        <v>136938.04999999999</v>
      </c>
      <c r="J2019" s="110">
        <v>226103.4</v>
      </c>
      <c r="K2019" s="110">
        <v>254627.92</v>
      </c>
      <c r="L2019" s="110">
        <v>276294.78999999998</v>
      </c>
    </row>
    <row r="2020" spans="1:12" x14ac:dyDescent="0.2">
      <c r="A2020" t="s">
        <v>51</v>
      </c>
      <c r="B2020" t="s">
        <v>109</v>
      </c>
      <c r="C2020" t="s">
        <v>192</v>
      </c>
      <c r="D2020" s="110">
        <v>486784.08</v>
      </c>
      <c r="E2020" s="110">
        <v>486449.08</v>
      </c>
      <c r="F2020" s="110">
        <v>486481.08</v>
      </c>
      <c r="I2020" s="110">
        <v>170010.46</v>
      </c>
      <c r="J2020" s="110">
        <v>238362.46</v>
      </c>
      <c r="K2020" s="110">
        <v>265152.71000000002</v>
      </c>
    </row>
    <row r="2021" spans="1:12" x14ac:dyDescent="0.2">
      <c r="A2021" t="s">
        <v>51</v>
      </c>
      <c r="B2021" t="s">
        <v>109</v>
      </c>
      <c r="C2021" t="s">
        <v>193</v>
      </c>
      <c r="D2021" s="110">
        <v>494862.79</v>
      </c>
      <c r="E2021" s="110">
        <v>497680.79</v>
      </c>
      <c r="I2021" s="110">
        <v>161314.09</v>
      </c>
      <c r="J2021" s="110">
        <v>222734.74</v>
      </c>
    </row>
    <row r="2022" spans="1:12" x14ac:dyDescent="0.2">
      <c r="A2022" t="s">
        <v>51</v>
      </c>
      <c r="B2022" t="s">
        <v>109</v>
      </c>
      <c r="C2022" t="s">
        <v>194</v>
      </c>
      <c r="D2022" s="110">
        <v>460486.93</v>
      </c>
      <c r="I2022" s="110">
        <v>128471.99</v>
      </c>
    </row>
    <row r="2023" spans="1:12" x14ac:dyDescent="0.2">
      <c r="A2023" t="s">
        <v>51</v>
      </c>
      <c r="B2023" t="s">
        <v>106</v>
      </c>
      <c r="C2023" t="s">
        <v>191</v>
      </c>
      <c r="D2023" s="110">
        <v>596778.01</v>
      </c>
      <c r="E2023" s="110">
        <v>593707.51</v>
      </c>
      <c r="F2023" s="110">
        <v>593707.51</v>
      </c>
      <c r="G2023" s="110">
        <v>593637.51</v>
      </c>
      <c r="I2023" s="110">
        <v>574030.39</v>
      </c>
      <c r="J2023" s="110">
        <v>586297.47</v>
      </c>
      <c r="K2023" s="110">
        <v>586526.48</v>
      </c>
      <c r="L2023" s="110">
        <v>586583.21</v>
      </c>
    </row>
    <row r="2024" spans="1:12" x14ac:dyDescent="0.2">
      <c r="A2024" t="s">
        <v>51</v>
      </c>
      <c r="B2024" t="s">
        <v>106</v>
      </c>
      <c r="C2024" t="s">
        <v>192</v>
      </c>
      <c r="D2024" s="110">
        <v>851227.58</v>
      </c>
      <c r="E2024" s="110">
        <v>849476.58</v>
      </c>
      <c r="F2024" s="110">
        <v>849426.58</v>
      </c>
      <c r="I2024" s="110">
        <v>808667.99</v>
      </c>
      <c r="J2024" s="110">
        <v>838971.56</v>
      </c>
      <c r="K2024" s="110">
        <v>840227.56</v>
      </c>
    </row>
    <row r="2025" spans="1:12" x14ac:dyDescent="0.2">
      <c r="A2025" t="s">
        <v>51</v>
      </c>
      <c r="B2025" t="s">
        <v>106</v>
      </c>
      <c r="C2025" t="s">
        <v>193</v>
      </c>
      <c r="D2025" s="110">
        <v>1038843.28</v>
      </c>
      <c r="E2025" s="110">
        <v>1036182.78</v>
      </c>
      <c r="I2025" s="110">
        <v>1015477.48</v>
      </c>
      <c r="J2025" s="110">
        <v>1028872.69</v>
      </c>
    </row>
    <row r="2026" spans="1:12" x14ac:dyDescent="0.2">
      <c r="A2026" t="s">
        <v>51</v>
      </c>
      <c r="B2026" t="s">
        <v>106</v>
      </c>
      <c r="C2026" t="s">
        <v>194</v>
      </c>
      <c r="D2026" s="110">
        <v>837690.95</v>
      </c>
      <c r="I2026" s="110">
        <v>807052.88</v>
      </c>
    </row>
    <row r="2027" spans="1:12" x14ac:dyDescent="0.2">
      <c r="A2027" t="s">
        <v>51</v>
      </c>
      <c r="B2027" t="s">
        <v>107</v>
      </c>
      <c r="C2027" t="s">
        <v>191</v>
      </c>
      <c r="D2027" s="110">
        <v>567811.21</v>
      </c>
      <c r="E2027" s="110">
        <v>567196.21</v>
      </c>
      <c r="F2027" s="110">
        <v>567576.21</v>
      </c>
      <c r="G2027" s="110">
        <v>567576.21</v>
      </c>
      <c r="I2027" s="110">
        <v>558440.12</v>
      </c>
      <c r="J2027" s="110">
        <v>562531.22</v>
      </c>
      <c r="K2027" s="110">
        <v>562581.22</v>
      </c>
      <c r="L2027" s="110">
        <v>562581.22</v>
      </c>
    </row>
    <row r="2028" spans="1:12" x14ac:dyDescent="0.2">
      <c r="A2028" t="s">
        <v>51</v>
      </c>
      <c r="B2028" t="s">
        <v>107</v>
      </c>
      <c r="C2028" t="s">
        <v>192</v>
      </c>
      <c r="D2028" s="110">
        <v>570426.15</v>
      </c>
      <c r="E2028" s="110">
        <v>570036.15</v>
      </c>
      <c r="F2028" s="110">
        <v>569736.15</v>
      </c>
      <c r="I2028" s="110">
        <v>544370.14</v>
      </c>
      <c r="J2028" s="110">
        <v>568361.09</v>
      </c>
      <c r="K2028" s="110">
        <v>568361.09</v>
      </c>
    </row>
    <row r="2029" spans="1:12" x14ac:dyDescent="0.2">
      <c r="A2029" t="s">
        <v>51</v>
      </c>
      <c r="B2029" t="s">
        <v>107</v>
      </c>
      <c r="C2029" t="s">
        <v>193</v>
      </c>
      <c r="D2029" s="110">
        <v>644876.78</v>
      </c>
      <c r="E2029" s="110">
        <v>644649.28</v>
      </c>
      <c r="I2029" s="110">
        <v>631769.05000000005</v>
      </c>
      <c r="J2029" s="110">
        <v>642234.30000000005</v>
      </c>
    </row>
    <row r="2030" spans="1:12" x14ac:dyDescent="0.2">
      <c r="A2030" t="s">
        <v>51</v>
      </c>
      <c r="B2030" t="s">
        <v>107</v>
      </c>
      <c r="C2030" t="s">
        <v>194</v>
      </c>
      <c r="D2030" s="110">
        <v>685267.73</v>
      </c>
      <c r="I2030" s="110">
        <v>646126.18000000005</v>
      </c>
    </row>
    <row r="2031" spans="1:12" x14ac:dyDescent="0.2">
      <c r="A2031" t="s">
        <v>51</v>
      </c>
      <c r="B2031" t="s">
        <v>108</v>
      </c>
      <c r="C2031" t="s">
        <v>191</v>
      </c>
      <c r="D2031" s="110">
        <v>155548.31</v>
      </c>
      <c r="E2031" s="110">
        <v>154255.31</v>
      </c>
      <c r="F2031" s="110">
        <v>153910.31</v>
      </c>
      <c r="G2031" s="110">
        <v>153910.31</v>
      </c>
      <c r="I2031" s="110">
        <v>153425.45000000001</v>
      </c>
      <c r="J2031" s="110">
        <v>152787.26999999999</v>
      </c>
      <c r="K2031" s="110">
        <v>152822.13</v>
      </c>
      <c r="L2031" s="110">
        <v>152822.13</v>
      </c>
    </row>
    <row r="2032" spans="1:12" x14ac:dyDescent="0.2">
      <c r="A2032" t="s">
        <v>51</v>
      </c>
      <c r="B2032" t="s">
        <v>108</v>
      </c>
      <c r="C2032" t="s">
        <v>192</v>
      </c>
      <c r="D2032" s="110">
        <v>194184.82</v>
      </c>
      <c r="E2032" s="110">
        <v>194358.82</v>
      </c>
      <c r="F2032" s="110">
        <v>194358.82</v>
      </c>
      <c r="I2032" s="110">
        <v>190045.85</v>
      </c>
      <c r="J2032" s="110">
        <v>192789.05</v>
      </c>
      <c r="K2032" s="110">
        <v>192795.64</v>
      </c>
    </row>
    <row r="2033" spans="1:12" x14ac:dyDescent="0.2">
      <c r="A2033" t="s">
        <v>51</v>
      </c>
      <c r="B2033" t="s">
        <v>108</v>
      </c>
      <c r="C2033" t="s">
        <v>193</v>
      </c>
      <c r="D2033" s="110">
        <v>186880.78</v>
      </c>
      <c r="E2033" s="110">
        <v>185737.68</v>
      </c>
      <c r="I2033" s="110">
        <v>183083.28</v>
      </c>
      <c r="J2033" s="110">
        <v>184854.28</v>
      </c>
    </row>
    <row r="2034" spans="1:12" x14ac:dyDescent="0.2">
      <c r="A2034" t="s">
        <v>51</v>
      </c>
      <c r="B2034" t="s">
        <v>108</v>
      </c>
      <c r="C2034" t="s">
        <v>194</v>
      </c>
      <c r="D2034" s="110">
        <v>176859.38</v>
      </c>
      <c r="I2034" s="110">
        <v>173648.08</v>
      </c>
    </row>
    <row r="2035" spans="1:12" x14ac:dyDescent="0.2">
      <c r="A2035" t="s">
        <v>51</v>
      </c>
      <c r="B2035" t="s">
        <v>70</v>
      </c>
      <c r="C2035" t="s">
        <v>191</v>
      </c>
      <c r="D2035" s="110">
        <v>255341.75</v>
      </c>
      <c r="E2035" s="110">
        <v>254239.81</v>
      </c>
      <c r="F2035" s="110">
        <v>255039.81</v>
      </c>
      <c r="G2035" s="110">
        <v>254634.81</v>
      </c>
      <c r="I2035" s="110">
        <v>226978.01</v>
      </c>
      <c r="J2035" s="110">
        <v>233235.31</v>
      </c>
      <c r="K2035" s="110">
        <v>234307.26</v>
      </c>
      <c r="L2035" s="110">
        <v>234407.26</v>
      </c>
    </row>
    <row r="2036" spans="1:12" x14ac:dyDescent="0.2">
      <c r="A2036" t="s">
        <v>51</v>
      </c>
      <c r="B2036" t="s">
        <v>70</v>
      </c>
      <c r="C2036" t="s">
        <v>192</v>
      </c>
      <c r="D2036" s="110">
        <v>266711.93</v>
      </c>
      <c r="E2036" s="110">
        <v>265157.43</v>
      </c>
      <c r="F2036" s="110">
        <v>263930.93</v>
      </c>
      <c r="I2036" s="110">
        <v>238264.38</v>
      </c>
      <c r="J2036" s="110">
        <v>243297.38</v>
      </c>
      <c r="K2036" s="110">
        <v>243447.38</v>
      </c>
    </row>
    <row r="2037" spans="1:12" x14ac:dyDescent="0.2">
      <c r="A2037" t="s">
        <v>51</v>
      </c>
      <c r="B2037" t="s">
        <v>70</v>
      </c>
      <c r="C2037" t="s">
        <v>193</v>
      </c>
      <c r="D2037" s="110">
        <v>289620.15999999997</v>
      </c>
      <c r="E2037" s="110">
        <v>286619.40999999997</v>
      </c>
      <c r="I2037" s="110">
        <v>255992.15</v>
      </c>
      <c r="J2037" s="110">
        <v>264279.8</v>
      </c>
    </row>
    <row r="2038" spans="1:12" x14ac:dyDescent="0.2">
      <c r="A2038" t="s">
        <v>51</v>
      </c>
      <c r="B2038" t="s">
        <v>70</v>
      </c>
      <c r="C2038" t="s">
        <v>194</v>
      </c>
      <c r="D2038" s="110">
        <v>264972.15000000002</v>
      </c>
      <c r="I2038" s="110">
        <v>231862.6</v>
      </c>
    </row>
    <row r="2039" spans="1:12" x14ac:dyDescent="0.2">
      <c r="A2039" t="s">
        <v>51</v>
      </c>
      <c r="B2039" t="s">
        <v>110</v>
      </c>
      <c r="C2039" t="s">
        <v>191</v>
      </c>
      <c r="D2039" s="110">
        <v>1371020.48</v>
      </c>
      <c r="E2039" s="110">
        <v>1552229.52</v>
      </c>
      <c r="F2039" s="110">
        <v>1555553.51</v>
      </c>
      <c r="G2039" s="110">
        <v>1544510.81</v>
      </c>
      <c r="I2039" s="110">
        <v>536740.09</v>
      </c>
      <c r="J2039" s="110">
        <v>960608.68</v>
      </c>
      <c r="K2039" s="110">
        <v>1181477.94</v>
      </c>
      <c r="L2039" s="110">
        <v>1251065</v>
      </c>
    </row>
    <row r="2040" spans="1:12" x14ac:dyDescent="0.2">
      <c r="A2040" t="s">
        <v>51</v>
      </c>
      <c r="B2040" t="s">
        <v>110</v>
      </c>
      <c r="C2040" t="s">
        <v>192</v>
      </c>
      <c r="D2040" s="110">
        <v>1511507.87</v>
      </c>
      <c r="E2040" s="110">
        <v>1647320.38</v>
      </c>
      <c r="F2040" s="110">
        <v>1638412.32</v>
      </c>
      <c r="I2040" s="110">
        <v>675326.67</v>
      </c>
      <c r="J2040" s="110">
        <v>1083392</v>
      </c>
      <c r="K2040" s="110">
        <v>1271957.75</v>
      </c>
    </row>
    <row r="2041" spans="1:12" x14ac:dyDescent="0.2">
      <c r="A2041" t="s">
        <v>51</v>
      </c>
      <c r="B2041" t="s">
        <v>110</v>
      </c>
      <c r="C2041" t="s">
        <v>193</v>
      </c>
      <c r="D2041" s="110">
        <v>1455591.2</v>
      </c>
      <c r="E2041" s="110">
        <v>1647943.07</v>
      </c>
      <c r="I2041" s="110">
        <v>591044.05000000005</v>
      </c>
      <c r="J2041" s="110">
        <v>1017107.29</v>
      </c>
    </row>
    <row r="2042" spans="1:12" x14ac:dyDescent="0.2">
      <c r="A2042" t="s">
        <v>51</v>
      </c>
      <c r="B2042" t="s">
        <v>110</v>
      </c>
      <c r="C2042" t="s">
        <v>194</v>
      </c>
      <c r="D2042" s="110">
        <v>1536092.74</v>
      </c>
      <c r="I2042" s="110">
        <v>626634.94999999995</v>
      </c>
    </row>
    <row r="2043" spans="1:12" x14ac:dyDescent="0.2">
      <c r="A2043" t="s">
        <v>52</v>
      </c>
      <c r="B2043" t="s">
        <v>104</v>
      </c>
      <c r="C2043" t="s">
        <v>191</v>
      </c>
      <c r="D2043" s="110">
        <v>3862123</v>
      </c>
      <c r="E2043" s="110">
        <v>3778219</v>
      </c>
      <c r="F2043" s="110">
        <v>3755227</v>
      </c>
      <c r="G2043" s="110">
        <v>3745436</v>
      </c>
      <c r="I2043" s="110">
        <v>97755</v>
      </c>
      <c r="J2043" s="110">
        <v>159841</v>
      </c>
      <c r="K2043" s="110">
        <v>200465</v>
      </c>
      <c r="L2043" s="110">
        <v>239101</v>
      </c>
    </row>
    <row r="2044" spans="1:12" x14ac:dyDescent="0.2">
      <c r="A2044" t="s">
        <v>52</v>
      </c>
      <c r="B2044" t="s">
        <v>104</v>
      </c>
      <c r="C2044" t="s">
        <v>192</v>
      </c>
      <c r="D2044" s="110">
        <v>4488364</v>
      </c>
      <c r="E2044" s="110">
        <v>4464400</v>
      </c>
      <c r="F2044" s="110">
        <v>4454613</v>
      </c>
      <c r="I2044" s="110">
        <v>110770</v>
      </c>
      <c r="J2044" s="110">
        <v>157240</v>
      </c>
      <c r="K2044" s="110">
        <v>201567</v>
      </c>
    </row>
    <row r="2045" spans="1:12" x14ac:dyDescent="0.2">
      <c r="A2045" t="s">
        <v>52</v>
      </c>
      <c r="B2045" t="s">
        <v>104</v>
      </c>
      <c r="C2045" t="s">
        <v>193</v>
      </c>
      <c r="D2045" s="110">
        <v>3235450</v>
      </c>
      <c r="E2045" s="110">
        <v>3209856</v>
      </c>
      <c r="I2045" s="110">
        <v>129057</v>
      </c>
      <c r="J2045" s="110">
        <v>189879</v>
      </c>
    </row>
    <row r="2046" spans="1:12" x14ac:dyDescent="0.2">
      <c r="A2046" t="s">
        <v>52</v>
      </c>
      <c r="B2046" t="s">
        <v>104</v>
      </c>
      <c r="C2046" t="s">
        <v>194</v>
      </c>
      <c r="D2046" s="110">
        <v>3593923</v>
      </c>
      <c r="I2046" s="110">
        <v>114304</v>
      </c>
    </row>
    <row r="2047" spans="1:12" x14ac:dyDescent="0.2">
      <c r="A2047" t="s">
        <v>52</v>
      </c>
      <c r="B2047" t="s">
        <v>140</v>
      </c>
      <c r="C2047" t="s">
        <v>191</v>
      </c>
      <c r="D2047" s="110">
        <v>1930279</v>
      </c>
      <c r="E2047" s="110">
        <v>1877679</v>
      </c>
      <c r="F2047" s="110">
        <v>1877629</v>
      </c>
    </row>
    <row r="2048" spans="1:12" x14ac:dyDescent="0.2">
      <c r="A2048" t="s">
        <v>52</v>
      </c>
      <c r="B2048" t="s">
        <v>140</v>
      </c>
      <c r="C2048" t="s">
        <v>192</v>
      </c>
      <c r="D2048" s="110">
        <v>2535360</v>
      </c>
      <c r="E2048" s="110">
        <v>2535210</v>
      </c>
    </row>
    <row r="2049" spans="1:12" x14ac:dyDescent="0.2">
      <c r="A2049" t="s">
        <v>52</v>
      </c>
      <c r="B2049" t="s">
        <v>140</v>
      </c>
      <c r="C2049" t="s">
        <v>193</v>
      </c>
      <c r="D2049" s="110">
        <v>1230795</v>
      </c>
    </row>
    <row r="2050" spans="1:12" x14ac:dyDescent="0.2">
      <c r="A2050" t="s">
        <v>52</v>
      </c>
      <c r="B2050" t="s">
        <v>140</v>
      </c>
      <c r="C2050" t="s">
        <v>194</v>
      </c>
    </row>
    <row r="2051" spans="1:12" x14ac:dyDescent="0.2">
      <c r="A2051" t="s">
        <v>52</v>
      </c>
      <c r="B2051" t="s">
        <v>105</v>
      </c>
      <c r="C2051" t="s">
        <v>191</v>
      </c>
      <c r="D2051" s="110">
        <v>1434059</v>
      </c>
      <c r="E2051" s="110">
        <v>1376288</v>
      </c>
      <c r="F2051" s="110">
        <v>1363299</v>
      </c>
      <c r="G2051" s="110">
        <v>1360693</v>
      </c>
      <c r="I2051" s="110">
        <v>227735</v>
      </c>
      <c r="J2051" s="110">
        <v>320932</v>
      </c>
      <c r="K2051" s="110">
        <v>367064</v>
      </c>
      <c r="L2051" s="110">
        <v>395924</v>
      </c>
    </row>
    <row r="2052" spans="1:12" x14ac:dyDescent="0.2">
      <c r="A2052" t="s">
        <v>52</v>
      </c>
      <c r="B2052" t="s">
        <v>105</v>
      </c>
      <c r="C2052" t="s">
        <v>192</v>
      </c>
      <c r="D2052" s="110">
        <v>1474675</v>
      </c>
      <c r="E2052" s="110">
        <v>1428073</v>
      </c>
      <c r="F2052" s="110">
        <v>1422661</v>
      </c>
      <c r="I2052" s="110">
        <v>256479</v>
      </c>
      <c r="J2052" s="110">
        <v>354673</v>
      </c>
      <c r="K2052" s="110">
        <v>398635</v>
      </c>
    </row>
    <row r="2053" spans="1:12" x14ac:dyDescent="0.2">
      <c r="A2053" t="s">
        <v>52</v>
      </c>
      <c r="B2053" t="s">
        <v>105</v>
      </c>
      <c r="C2053" t="s">
        <v>193</v>
      </c>
      <c r="D2053" s="110">
        <v>1631031</v>
      </c>
      <c r="E2053" s="110">
        <v>1550713</v>
      </c>
      <c r="I2053" s="110">
        <v>261655</v>
      </c>
      <c r="J2053" s="110">
        <v>352100</v>
      </c>
    </row>
    <row r="2054" spans="1:12" x14ac:dyDescent="0.2">
      <c r="A2054" t="s">
        <v>52</v>
      </c>
      <c r="B2054" t="s">
        <v>105</v>
      </c>
      <c r="C2054" t="s">
        <v>194</v>
      </c>
      <c r="D2054" s="110">
        <v>1559852</v>
      </c>
      <c r="I2054" s="110">
        <v>242919</v>
      </c>
    </row>
    <row r="2055" spans="1:12" x14ac:dyDescent="0.2">
      <c r="A2055" t="s">
        <v>52</v>
      </c>
      <c r="B2055" t="s">
        <v>111</v>
      </c>
      <c r="C2055" t="s">
        <v>191</v>
      </c>
      <c r="D2055" s="110">
        <v>82161</v>
      </c>
      <c r="E2055" s="110">
        <v>81700</v>
      </c>
      <c r="F2055" s="110">
        <v>81457</v>
      </c>
      <c r="G2055" s="110">
        <v>70935</v>
      </c>
      <c r="I2055" s="110">
        <v>1894</v>
      </c>
      <c r="J2055" s="110">
        <v>2334</v>
      </c>
      <c r="K2055" s="110">
        <v>2934</v>
      </c>
      <c r="L2055" s="110">
        <v>3240</v>
      </c>
    </row>
    <row r="2056" spans="1:12" x14ac:dyDescent="0.2">
      <c r="A2056" t="s">
        <v>52</v>
      </c>
      <c r="B2056" t="s">
        <v>111</v>
      </c>
      <c r="C2056" t="s">
        <v>192</v>
      </c>
      <c r="D2056" s="110">
        <v>76215</v>
      </c>
      <c r="E2056" s="110">
        <v>75794</v>
      </c>
      <c r="F2056" s="110">
        <v>71800</v>
      </c>
      <c r="I2056" s="110">
        <v>1862</v>
      </c>
      <c r="J2056" s="110">
        <v>2296</v>
      </c>
      <c r="K2056" s="110">
        <v>2771</v>
      </c>
    </row>
    <row r="2057" spans="1:12" x14ac:dyDescent="0.2">
      <c r="A2057" t="s">
        <v>52</v>
      </c>
      <c r="B2057" t="s">
        <v>111</v>
      </c>
      <c r="C2057" t="s">
        <v>193</v>
      </c>
      <c r="D2057" s="110">
        <v>49855</v>
      </c>
      <c r="E2057" s="110">
        <v>49384</v>
      </c>
      <c r="I2057" s="110">
        <v>1333</v>
      </c>
      <c r="J2057" s="110">
        <v>1797</v>
      </c>
    </row>
    <row r="2058" spans="1:12" x14ac:dyDescent="0.2">
      <c r="A2058" t="s">
        <v>52</v>
      </c>
      <c r="B2058" t="s">
        <v>111</v>
      </c>
      <c r="C2058" t="s">
        <v>194</v>
      </c>
      <c r="D2058" s="110">
        <v>52142</v>
      </c>
      <c r="I2058" s="110">
        <v>1760</v>
      </c>
    </row>
    <row r="2059" spans="1:12" x14ac:dyDescent="0.2">
      <c r="A2059" t="s">
        <v>52</v>
      </c>
      <c r="B2059" t="s">
        <v>109</v>
      </c>
      <c r="C2059" t="s">
        <v>191</v>
      </c>
      <c r="D2059" s="110">
        <v>1826255</v>
      </c>
      <c r="E2059" s="110">
        <v>1809777</v>
      </c>
      <c r="F2059" s="110">
        <v>1802658</v>
      </c>
      <c r="G2059" s="110">
        <v>1799908</v>
      </c>
      <c r="I2059" s="110">
        <v>690130</v>
      </c>
      <c r="J2059" s="110">
        <v>919720</v>
      </c>
      <c r="K2059" s="110">
        <v>1045488</v>
      </c>
      <c r="L2059" s="110">
        <v>1146467</v>
      </c>
    </row>
    <row r="2060" spans="1:12" x14ac:dyDescent="0.2">
      <c r="A2060" t="s">
        <v>52</v>
      </c>
      <c r="B2060" t="s">
        <v>109</v>
      </c>
      <c r="C2060" t="s">
        <v>192</v>
      </c>
      <c r="D2060" s="110">
        <v>1900340</v>
      </c>
      <c r="E2060" s="110">
        <v>1888518</v>
      </c>
      <c r="F2060" s="110">
        <v>1882478</v>
      </c>
      <c r="I2060" s="110">
        <v>825011</v>
      </c>
      <c r="J2060" s="110">
        <v>1040693</v>
      </c>
      <c r="K2060" s="110">
        <v>1165997</v>
      </c>
    </row>
    <row r="2061" spans="1:12" x14ac:dyDescent="0.2">
      <c r="A2061" t="s">
        <v>52</v>
      </c>
      <c r="B2061" t="s">
        <v>109</v>
      </c>
      <c r="C2061" t="s">
        <v>193</v>
      </c>
      <c r="D2061" s="110">
        <v>1862249</v>
      </c>
      <c r="E2061" s="110">
        <v>1850376</v>
      </c>
      <c r="I2061" s="110">
        <v>758937</v>
      </c>
      <c r="J2061" s="110">
        <v>943263</v>
      </c>
    </row>
    <row r="2062" spans="1:12" x14ac:dyDescent="0.2">
      <c r="A2062" t="s">
        <v>52</v>
      </c>
      <c r="B2062" t="s">
        <v>109</v>
      </c>
      <c r="C2062" t="s">
        <v>194</v>
      </c>
      <c r="D2062" s="110">
        <v>1873566</v>
      </c>
      <c r="I2062" s="110">
        <v>734169</v>
      </c>
    </row>
    <row r="2063" spans="1:12" x14ac:dyDescent="0.2">
      <c r="A2063" t="s">
        <v>52</v>
      </c>
      <c r="B2063" t="s">
        <v>106</v>
      </c>
      <c r="C2063" t="s">
        <v>191</v>
      </c>
      <c r="D2063" s="110">
        <v>1100504</v>
      </c>
      <c r="E2063" s="110">
        <v>1100504</v>
      </c>
      <c r="F2063" s="110">
        <v>1100451</v>
      </c>
      <c r="G2063" s="110">
        <v>1100451</v>
      </c>
      <c r="I2063" s="110">
        <v>1072751</v>
      </c>
      <c r="J2063" s="110">
        <v>1094115</v>
      </c>
      <c r="K2063" s="110">
        <v>1097237</v>
      </c>
      <c r="L2063" s="110">
        <v>1097237</v>
      </c>
    </row>
    <row r="2064" spans="1:12" x14ac:dyDescent="0.2">
      <c r="A2064" t="s">
        <v>52</v>
      </c>
      <c r="B2064" t="s">
        <v>106</v>
      </c>
      <c r="C2064" t="s">
        <v>192</v>
      </c>
      <c r="D2064" s="110">
        <v>1560891</v>
      </c>
      <c r="E2064" s="110">
        <v>1559588</v>
      </c>
      <c r="F2064" s="110">
        <v>1558713</v>
      </c>
      <c r="I2064" s="110">
        <v>1547481</v>
      </c>
      <c r="J2064" s="110">
        <v>1556985</v>
      </c>
      <c r="K2064" s="110">
        <v>1556430</v>
      </c>
    </row>
    <row r="2065" spans="1:12" x14ac:dyDescent="0.2">
      <c r="A2065" t="s">
        <v>52</v>
      </c>
      <c r="B2065" t="s">
        <v>106</v>
      </c>
      <c r="C2065" t="s">
        <v>193</v>
      </c>
      <c r="D2065" s="110">
        <v>1865648</v>
      </c>
      <c r="E2065" s="110">
        <v>1860067</v>
      </c>
      <c r="I2065" s="110">
        <v>1834191</v>
      </c>
      <c r="J2065" s="110">
        <v>1856936</v>
      </c>
    </row>
    <row r="2066" spans="1:12" x14ac:dyDescent="0.2">
      <c r="A2066" t="s">
        <v>52</v>
      </c>
      <c r="B2066" t="s">
        <v>106</v>
      </c>
      <c r="C2066" t="s">
        <v>194</v>
      </c>
      <c r="D2066" s="110">
        <v>1606710</v>
      </c>
      <c r="I2066" s="110">
        <v>1582473</v>
      </c>
    </row>
    <row r="2067" spans="1:12" x14ac:dyDescent="0.2">
      <c r="A2067" t="s">
        <v>52</v>
      </c>
      <c r="B2067" t="s">
        <v>107</v>
      </c>
      <c r="C2067" t="s">
        <v>191</v>
      </c>
      <c r="D2067" s="110">
        <v>1150945</v>
      </c>
      <c r="E2067" s="110">
        <v>1150643</v>
      </c>
      <c r="F2067" s="110">
        <v>1150341</v>
      </c>
      <c r="G2067" s="110">
        <v>1150341</v>
      </c>
      <c r="I2067" s="110">
        <v>1149960</v>
      </c>
      <c r="J2067" s="110">
        <v>1150324</v>
      </c>
      <c r="K2067" s="110">
        <v>1150325</v>
      </c>
      <c r="L2067" s="110">
        <v>1150325</v>
      </c>
    </row>
    <row r="2068" spans="1:12" x14ac:dyDescent="0.2">
      <c r="A2068" t="s">
        <v>52</v>
      </c>
      <c r="B2068" t="s">
        <v>107</v>
      </c>
      <c r="C2068" t="s">
        <v>192</v>
      </c>
      <c r="D2068" s="110">
        <v>1115469</v>
      </c>
      <c r="E2068" s="110">
        <v>1114689</v>
      </c>
      <c r="F2068" s="110">
        <v>1113775</v>
      </c>
      <c r="I2068" s="110">
        <v>1112802</v>
      </c>
      <c r="J2068" s="110">
        <v>112513</v>
      </c>
      <c r="K2068" s="110">
        <v>1112464</v>
      </c>
    </row>
    <row r="2069" spans="1:12" x14ac:dyDescent="0.2">
      <c r="A2069" t="s">
        <v>52</v>
      </c>
      <c r="B2069" t="s">
        <v>107</v>
      </c>
      <c r="C2069" t="s">
        <v>193</v>
      </c>
      <c r="D2069" s="110">
        <v>1290360</v>
      </c>
      <c r="E2069" s="110">
        <v>1288402</v>
      </c>
      <c r="I2069" s="110">
        <v>1289044</v>
      </c>
      <c r="J2069" s="110">
        <v>1286519</v>
      </c>
    </row>
    <row r="2070" spans="1:12" x14ac:dyDescent="0.2">
      <c r="A2070" t="s">
        <v>52</v>
      </c>
      <c r="B2070" t="s">
        <v>107</v>
      </c>
      <c r="C2070" t="s">
        <v>194</v>
      </c>
      <c r="D2070" s="110">
        <v>1324553</v>
      </c>
      <c r="I2070" s="110">
        <v>1322655</v>
      </c>
    </row>
    <row r="2071" spans="1:12" x14ac:dyDescent="0.2">
      <c r="A2071" t="s">
        <v>52</v>
      </c>
      <c r="B2071" t="s">
        <v>108</v>
      </c>
      <c r="C2071" t="s">
        <v>191</v>
      </c>
      <c r="D2071" s="110">
        <v>411069</v>
      </c>
      <c r="E2071" s="110">
        <v>410789</v>
      </c>
      <c r="F2071" s="110">
        <v>410528</v>
      </c>
      <c r="G2071" s="110">
        <v>410475</v>
      </c>
      <c r="I2071" s="110">
        <v>408416</v>
      </c>
      <c r="J2071" s="110">
        <v>409366</v>
      </c>
      <c r="K2071" s="110">
        <v>409431</v>
      </c>
      <c r="L2071" s="110">
        <v>409431</v>
      </c>
    </row>
    <row r="2072" spans="1:12" x14ac:dyDescent="0.2">
      <c r="A2072" t="s">
        <v>52</v>
      </c>
      <c r="B2072" t="s">
        <v>108</v>
      </c>
      <c r="C2072" t="s">
        <v>192</v>
      </c>
      <c r="D2072" s="110">
        <v>463325</v>
      </c>
      <c r="E2072" s="110">
        <v>463325</v>
      </c>
      <c r="F2072" s="110">
        <v>463325</v>
      </c>
      <c r="I2072" s="110">
        <v>462093</v>
      </c>
      <c r="J2072" s="110">
        <v>462996</v>
      </c>
      <c r="K2072" s="110">
        <v>462996</v>
      </c>
    </row>
    <row r="2073" spans="1:12" x14ac:dyDescent="0.2">
      <c r="A2073" t="s">
        <v>52</v>
      </c>
      <c r="B2073" t="s">
        <v>108</v>
      </c>
      <c r="C2073" t="s">
        <v>193</v>
      </c>
      <c r="D2073" s="110">
        <v>478490</v>
      </c>
      <c r="E2073" s="110">
        <v>477701</v>
      </c>
      <c r="I2073" s="110">
        <v>474061</v>
      </c>
      <c r="J2073" s="110">
        <v>474721</v>
      </c>
    </row>
    <row r="2074" spans="1:12" x14ac:dyDescent="0.2">
      <c r="A2074" t="s">
        <v>52</v>
      </c>
      <c r="B2074" t="s">
        <v>108</v>
      </c>
      <c r="C2074" t="s">
        <v>194</v>
      </c>
      <c r="D2074" s="110">
        <v>417558</v>
      </c>
      <c r="I2074" s="110">
        <v>414404</v>
      </c>
    </row>
    <row r="2075" spans="1:12" x14ac:dyDescent="0.2">
      <c r="A2075" t="s">
        <v>52</v>
      </c>
      <c r="B2075" t="s">
        <v>70</v>
      </c>
      <c r="C2075" t="s">
        <v>191</v>
      </c>
      <c r="D2075" s="110">
        <v>486151</v>
      </c>
      <c r="E2075" s="110">
        <v>484768</v>
      </c>
      <c r="F2075" s="110">
        <v>484767</v>
      </c>
      <c r="G2075" s="110">
        <v>484767</v>
      </c>
      <c r="I2075" s="110">
        <v>481084</v>
      </c>
      <c r="J2075" s="110">
        <v>481429</v>
      </c>
      <c r="K2075" s="110">
        <v>481819</v>
      </c>
      <c r="L2075" s="110">
        <v>482291</v>
      </c>
    </row>
    <row r="2076" spans="1:12" x14ac:dyDescent="0.2">
      <c r="A2076" t="s">
        <v>52</v>
      </c>
      <c r="B2076" t="s">
        <v>70</v>
      </c>
      <c r="C2076" t="s">
        <v>192</v>
      </c>
      <c r="D2076" s="110">
        <v>538094</v>
      </c>
      <c r="E2076" s="110">
        <v>537685</v>
      </c>
      <c r="F2076" s="110">
        <v>538490</v>
      </c>
      <c r="I2076" s="110">
        <v>531676</v>
      </c>
      <c r="J2076" s="110">
        <v>537023</v>
      </c>
      <c r="K2076" s="110">
        <v>537044</v>
      </c>
    </row>
    <row r="2077" spans="1:12" x14ac:dyDescent="0.2">
      <c r="A2077" t="s">
        <v>52</v>
      </c>
      <c r="B2077" t="s">
        <v>70</v>
      </c>
      <c r="C2077" t="s">
        <v>193</v>
      </c>
      <c r="D2077" s="110">
        <v>548026</v>
      </c>
      <c r="E2077" s="110">
        <v>546130</v>
      </c>
      <c r="I2077" s="110">
        <v>541461</v>
      </c>
      <c r="J2077" s="110">
        <v>543027</v>
      </c>
    </row>
    <row r="2078" spans="1:12" x14ac:dyDescent="0.2">
      <c r="A2078" t="s">
        <v>52</v>
      </c>
      <c r="B2078" t="s">
        <v>70</v>
      </c>
      <c r="C2078" t="s">
        <v>194</v>
      </c>
      <c r="D2078" s="110">
        <v>534423</v>
      </c>
      <c r="I2078" s="110">
        <v>532480</v>
      </c>
    </row>
    <row r="2079" spans="1:12" x14ac:dyDescent="0.2">
      <c r="A2079" t="s">
        <v>52</v>
      </c>
      <c r="B2079" t="s">
        <v>110</v>
      </c>
      <c r="C2079" t="s">
        <v>191</v>
      </c>
      <c r="D2079" s="110">
        <v>3890577</v>
      </c>
      <c r="E2079" s="110">
        <v>3268654</v>
      </c>
      <c r="F2079" s="110">
        <v>3199212</v>
      </c>
      <c r="G2079" s="110">
        <v>3160951</v>
      </c>
      <c r="I2079" s="110">
        <v>2049887</v>
      </c>
      <c r="J2079" s="110">
        <v>2697155</v>
      </c>
      <c r="K2079" s="110">
        <v>2812419</v>
      </c>
      <c r="L2079" s="110">
        <v>2852695</v>
      </c>
    </row>
    <row r="2080" spans="1:12" x14ac:dyDescent="0.2">
      <c r="A2080" t="s">
        <v>52</v>
      </c>
      <c r="B2080" t="s">
        <v>110</v>
      </c>
      <c r="C2080" t="s">
        <v>192</v>
      </c>
      <c r="D2080" s="110">
        <v>4453624</v>
      </c>
      <c r="E2080" s="110">
        <v>3721916</v>
      </c>
      <c r="F2080" s="110">
        <v>3634447</v>
      </c>
      <c r="I2080" s="110">
        <v>2435988</v>
      </c>
      <c r="J2080" s="110">
        <v>3060820</v>
      </c>
      <c r="K2080" s="110">
        <v>3182054</v>
      </c>
    </row>
    <row r="2081" spans="1:12" x14ac:dyDescent="0.2">
      <c r="A2081" t="s">
        <v>52</v>
      </c>
      <c r="B2081" t="s">
        <v>110</v>
      </c>
      <c r="C2081" t="s">
        <v>193</v>
      </c>
      <c r="D2081" s="110">
        <v>4868430</v>
      </c>
      <c r="E2081" s="110">
        <v>4065386</v>
      </c>
      <c r="I2081" s="110">
        <v>2591141</v>
      </c>
      <c r="J2081" s="110">
        <v>3283075</v>
      </c>
    </row>
    <row r="2082" spans="1:12" x14ac:dyDescent="0.2">
      <c r="A2082" t="s">
        <v>52</v>
      </c>
      <c r="B2082" t="s">
        <v>110</v>
      </c>
      <c r="C2082" t="s">
        <v>194</v>
      </c>
      <c r="D2082" s="110">
        <v>4704116</v>
      </c>
      <c r="I2082" s="110">
        <v>2471801</v>
      </c>
    </row>
    <row r="2083" spans="1:12" x14ac:dyDescent="0.2">
      <c r="A2083" t="s">
        <v>53</v>
      </c>
      <c r="B2083" t="s">
        <v>104</v>
      </c>
      <c r="C2083" t="s">
        <v>191</v>
      </c>
      <c r="D2083" s="110">
        <v>4766132.47</v>
      </c>
      <c r="E2083" s="110">
        <v>4765719.7300000004</v>
      </c>
      <c r="F2083" s="110">
        <v>4762335.9800000004</v>
      </c>
      <c r="G2083" s="110">
        <v>4760224.63</v>
      </c>
      <c r="I2083" s="110">
        <v>51435.96</v>
      </c>
      <c r="J2083" s="110">
        <v>127831.32</v>
      </c>
      <c r="K2083" s="110">
        <v>170287.11</v>
      </c>
      <c r="L2083" s="110">
        <v>201367.27</v>
      </c>
    </row>
    <row r="2084" spans="1:12" x14ac:dyDescent="0.2">
      <c r="A2084" t="s">
        <v>53</v>
      </c>
      <c r="B2084" t="s">
        <v>104</v>
      </c>
      <c r="C2084" t="s">
        <v>192</v>
      </c>
      <c r="D2084" s="110">
        <v>4424442.75</v>
      </c>
      <c r="E2084" s="110">
        <v>4424442.75</v>
      </c>
      <c r="F2084" s="110">
        <v>4422505.3499999996</v>
      </c>
      <c r="I2084" s="110">
        <v>81883.02</v>
      </c>
      <c r="J2084" s="110">
        <v>168430.77</v>
      </c>
      <c r="K2084" s="110">
        <v>219719.73</v>
      </c>
    </row>
    <row r="2085" spans="1:12" x14ac:dyDescent="0.2">
      <c r="A2085" t="s">
        <v>53</v>
      </c>
      <c r="B2085" t="s">
        <v>104</v>
      </c>
      <c r="C2085" t="s">
        <v>193</v>
      </c>
      <c r="D2085" s="110">
        <v>4916339.1399999997</v>
      </c>
      <c r="E2085" s="110">
        <v>4918965.9400000004</v>
      </c>
      <c r="I2085" s="110">
        <v>73875.17</v>
      </c>
      <c r="J2085" s="110">
        <v>146571.76999999999</v>
      </c>
    </row>
    <row r="2086" spans="1:12" x14ac:dyDescent="0.2">
      <c r="A2086" t="s">
        <v>53</v>
      </c>
      <c r="B2086" t="s">
        <v>104</v>
      </c>
      <c r="C2086" t="s">
        <v>194</v>
      </c>
      <c r="D2086" s="110">
        <v>3983029.9</v>
      </c>
      <c r="I2086" s="110">
        <v>59782.16</v>
      </c>
    </row>
    <row r="2087" spans="1:12" x14ac:dyDescent="0.2">
      <c r="A2087" t="s">
        <v>53</v>
      </c>
      <c r="B2087" t="s">
        <v>140</v>
      </c>
      <c r="C2087" t="s">
        <v>191</v>
      </c>
      <c r="D2087" s="110">
        <v>2824850</v>
      </c>
      <c r="E2087" s="110">
        <v>2824850</v>
      </c>
      <c r="F2087" s="110">
        <v>2824850</v>
      </c>
      <c r="I2087" s="110">
        <v>433</v>
      </c>
      <c r="J2087" s="110">
        <v>433</v>
      </c>
      <c r="K2087" s="110">
        <v>433</v>
      </c>
    </row>
    <row r="2088" spans="1:12" x14ac:dyDescent="0.2">
      <c r="A2088" t="s">
        <v>53</v>
      </c>
      <c r="B2088" t="s">
        <v>140</v>
      </c>
      <c r="C2088" t="s">
        <v>192</v>
      </c>
      <c r="D2088" s="110">
        <v>2508931</v>
      </c>
      <c r="E2088" s="110">
        <v>2508931</v>
      </c>
      <c r="I2088" s="110">
        <v>13</v>
      </c>
      <c r="J2088" s="110">
        <v>13</v>
      </c>
    </row>
    <row r="2089" spans="1:12" x14ac:dyDescent="0.2">
      <c r="A2089" t="s">
        <v>53</v>
      </c>
      <c r="B2089" t="s">
        <v>140</v>
      </c>
      <c r="C2089" t="s">
        <v>193</v>
      </c>
      <c r="D2089" s="110">
        <v>2801205</v>
      </c>
      <c r="I2089" s="110">
        <v>127</v>
      </c>
    </row>
    <row r="2090" spans="1:12" x14ac:dyDescent="0.2">
      <c r="A2090" t="s">
        <v>53</v>
      </c>
      <c r="B2090" t="s">
        <v>140</v>
      </c>
      <c r="C2090" t="s">
        <v>194</v>
      </c>
    </row>
    <row r="2091" spans="1:12" x14ac:dyDescent="0.2">
      <c r="A2091" t="s">
        <v>53</v>
      </c>
      <c r="B2091" t="s">
        <v>105</v>
      </c>
      <c r="C2091" t="s">
        <v>191</v>
      </c>
      <c r="D2091" s="110">
        <v>1032424.1</v>
      </c>
      <c r="E2091" s="110">
        <v>1017640.02</v>
      </c>
      <c r="F2091" s="110">
        <v>1015068.02</v>
      </c>
      <c r="G2091" s="110">
        <v>1012311.56</v>
      </c>
      <c r="I2091" s="110">
        <v>199060.4</v>
      </c>
      <c r="J2091" s="110">
        <v>320861.8</v>
      </c>
      <c r="K2091" s="110">
        <v>367766.58</v>
      </c>
      <c r="L2091" s="110">
        <v>399284.52</v>
      </c>
    </row>
    <row r="2092" spans="1:12" x14ac:dyDescent="0.2">
      <c r="A2092" t="s">
        <v>53</v>
      </c>
      <c r="B2092" t="s">
        <v>105</v>
      </c>
      <c r="C2092" t="s">
        <v>192</v>
      </c>
      <c r="D2092" s="110">
        <v>971008.72</v>
      </c>
      <c r="E2092" s="110">
        <v>957061.84</v>
      </c>
      <c r="F2092" s="110">
        <v>952581.05</v>
      </c>
      <c r="I2092" s="110">
        <v>228890.59</v>
      </c>
      <c r="J2092" s="110">
        <v>324707.21000000002</v>
      </c>
      <c r="K2092" s="110">
        <v>369691.14</v>
      </c>
    </row>
    <row r="2093" spans="1:12" x14ac:dyDescent="0.2">
      <c r="A2093" t="s">
        <v>53</v>
      </c>
      <c r="B2093" t="s">
        <v>105</v>
      </c>
      <c r="C2093" t="s">
        <v>193</v>
      </c>
      <c r="D2093" s="110">
        <v>1027421.35</v>
      </c>
      <c r="E2093" s="110">
        <v>1005188.51</v>
      </c>
      <c r="I2093" s="110">
        <v>198316.04</v>
      </c>
      <c r="J2093" s="110">
        <v>315239.12</v>
      </c>
    </row>
    <row r="2094" spans="1:12" x14ac:dyDescent="0.2">
      <c r="A2094" t="s">
        <v>53</v>
      </c>
      <c r="B2094" t="s">
        <v>105</v>
      </c>
      <c r="C2094" t="s">
        <v>194</v>
      </c>
      <c r="D2094" s="110">
        <v>1060233.53</v>
      </c>
      <c r="I2094" s="110">
        <v>225999.58</v>
      </c>
    </row>
    <row r="2095" spans="1:12" x14ac:dyDescent="0.2">
      <c r="A2095" t="s">
        <v>53</v>
      </c>
      <c r="B2095" t="s">
        <v>111</v>
      </c>
      <c r="C2095" t="s">
        <v>191</v>
      </c>
      <c r="D2095" s="110">
        <v>132605.41</v>
      </c>
      <c r="E2095" s="110">
        <v>132480.41</v>
      </c>
      <c r="F2095" s="110">
        <v>131535.39000000001</v>
      </c>
      <c r="G2095" s="110">
        <v>129644.74</v>
      </c>
      <c r="I2095" s="110">
        <v>8977.42</v>
      </c>
      <c r="J2095" s="110">
        <v>16360.03</v>
      </c>
      <c r="K2095" s="110">
        <v>18878.07</v>
      </c>
      <c r="L2095" s="110">
        <v>23583.82</v>
      </c>
    </row>
    <row r="2096" spans="1:12" x14ac:dyDescent="0.2">
      <c r="A2096" t="s">
        <v>53</v>
      </c>
      <c r="B2096" t="s">
        <v>111</v>
      </c>
      <c r="C2096" t="s">
        <v>192</v>
      </c>
      <c r="D2096" s="110">
        <v>124123.79</v>
      </c>
      <c r="E2096" s="110">
        <v>121977.11</v>
      </c>
      <c r="F2096" s="110">
        <v>120689.94</v>
      </c>
      <c r="I2096" s="110">
        <v>13259</v>
      </c>
      <c r="J2096" s="110">
        <v>19110.080000000002</v>
      </c>
      <c r="K2096" s="110">
        <v>22764.68</v>
      </c>
    </row>
    <row r="2097" spans="1:12" x14ac:dyDescent="0.2">
      <c r="A2097" t="s">
        <v>53</v>
      </c>
      <c r="B2097" t="s">
        <v>111</v>
      </c>
      <c r="C2097" t="s">
        <v>193</v>
      </c>
      <c r="D2097" s="110">
        <v>138564.71</v>
      </c>
      <c r="E2097" s="110">
        <v>137599.01</v>
      </c>
      <c r="I2097" s="110">
        <v>7818.74</v>
      </c>
      <c r="J2097" s="110">
        <v>16156.38</v>
      </c>
    </row>
    <row r="2098" spans="1:12" x14ac:dyDescent="0.2">
      <c r="A2098" t="s">
        <v>53</v>
      </c>
      <c r="B2098" t="s">
        <v>111</v>
      </c>
      <c r="C2098" t="s">
        <v>194</v>
      </c>
      <c r="D2098" s="110">
        <v>132528.18</v>
      </c>
      <c r="I2098" s="110">
        <v>8679.15</v>
      </c>
    </row>
    <row r="2099" spans="1:12" x14ac:dyDescent="0.2">
      <c r="A2099" t="s">
        <v>53</v>
      </c>
      <c r="B2099" t="s">
        <v>109</v>
      </c>
      <c r="C2099" t="s">
        <v>191</v>
      </c>
      <c r="D2099" s="110">
        <v>716057.34</v>
      </c>
      <c r="E2099" s="110">
        <v>711590.33</v>
      </c>
      <c r="F2099" s="110">
        <v>707709.99</v>
      </c>
      <c r="G2099" s="110">
        <v>707199.99</v>
      </c>
      <c r="I2099" s="110">
        <v>205476.23</v>
      </c>
      <c r="J2099" s="110">
        <v>309839.63</v>
      </c>
      <c r="K2099" s="110">
        <v>355170.38</v>
      </c>
      <c r="L2099" s="110">
        <v>386932.39</v>
      </c>
    </row>
    <row r="2100" spans="1:12" x14ac:dyDescent="0.2">
      <c r="A2100" t="s">
        <v>53</v>
      </c>
      <c r="B2100" t="s">
        <v>109</v>
      </c>
      <c r="C2100" t="s">
        <v>192</v>
      </c>
      <c r="D2100" s="110">
        <v>766133.18</v>
      </c>
      <c r="E2100" s="110">
        <v>762780.44</v>
      </c>
      <c r="F2100" s="110">
        <v>758470.03</v>
      </c>
      <c r="I2100" s="110">
        <v>221373.66</v>
      </c>
      <c r="J2100" s="110">
        <v>326299.73</v>
      </c>
      <c r="K2100" s="110">
        <v>371999.59</v>
      </c>
    </row>
    <row r="2101" spans="1:12" x14ac:dyDescent="0.2">
      <c r="A2101" t="s">
        <v>53</v>
      </c>
      <c r="B2101" t="s">
        <v>109</v>
      </c>
      <c r="C2101" t="s">
        <v>193</v>
      </c>
      <c r="D2101" s="110">
        <v>761083.45</v>
      </c>
      <c r="E2101" s="110">
        <v>754340.78</v>
      </c>
      <c r="I2101" s="110">
        <v>212897.93</v>
      </c>
      <c r="J2101" s="110">
        <v>317839.84999999998</v>
      </c>
    </row>
    <row r="2102" spans="1:12" x14ac:dyDescent="0.2">
      <c r="A2102" t="s">
        <v>53</v>
      </c>
      <c r="B2102" t="s">
        <v>109</v>
      </c>
      <c r="C2102" t="s">
        <v>194</v>
      </c>
      <c r="D2102" s="110">
        <v>836216.3</v>
      </c>
      <c r="I2102" s="110">
        <v>215200.68</v>
      </c>
    </row>
    <row r="2103" spans="1:12" x14ac:dyDescent="0.2">
      <c r="A2103" t="s">
        <v>53</v>
      </c>
      <c r="B2103" t="s">
        <v>106</v>
      </c>
      <c r="C2103" t="s">
        <v>191</v>
      </c>
      <c r="D2103" s="110">
        <v>506975.48</v>
      </c>
      <c r="E2103" s="110">
        <v>506975.48</v>
      </c>
      <c r="F2103" s="110">
        <v>506975.48</v>
      </c>
      <c r="G2103" s="110">
        <v>506975.48</v>
      </c>
      <c r="I2103" s="110">
        <v>501800.48</v>
      </c>
      <c r="J2103" s="110">
        <v>503079.42</v>
      </c>
      <c r="K2103" s="110">
        <v>503110.48</v>
      </c>
      <c r="L2103" s="110">
        <v>503110.48</v>
      </c>
    </row>
    <row r="2104" spans="1:12" x14ac:dyDescent="0.2">
      <c r="A2104" t="s">
        <v>53</v>
      </c>
      <c r="B2104" t="s">
        <v>106</v>
      </c>
      <c r="C2104" t="s">
        <v>192</v>
      </c>
      <c r="D2104" s="110">
        <v>740648.26</v>
      </c>
      <c r="E2104" s="110">
        <v>740541.26</v>
      </c>
      <c r="F2104" s="110">
        <v>740541.26</v>
      </c>
      <c r="I2104" s="110">
        <v>734561.26</v>
      </c>
      <c r="J2104" s="110">
        <v>735506.26</v>
      </c>
      <c r="K2104" s="110">
        <v>735506.26</v>
      </c>
    </row>
    <row r="2105" spans="1:12" x14ac:dyDescent="0.2">
      <c r="A2105" t="s">
        <v>53</v>
      </c>
      <c r="B2105" t="s">
        <v>106</v>
      </c>
      <c r="C2105" t="s">
        <v>193</v>
      </c>
      <c r="D2105" s="110">
        <v>1028462.95</v>
      </c>
      <c r="E2105" s="110">
        <v>1027667.95</v>
      </c>
      <c r="I2105" s="110">
        <v>1020117.17</v>
      </c>
      <c r="J2105" s="110">
        <v>1021157.17</v>
      </c>
    </row>
    <row r="2106" spans="1:12" x14ac:dyDescent="0.2">
      <c r="A2106" t="s">
        <v>53</v>
      </c>
      <c r="B2106" t="s">
        <v>106</v>
      </c>
      <c r="C2106" t="s">
        <v>194</v>
      </c>
      <c r="D2106" s="110">
        <v>1016569.03</v>
      </c>
      <c r="I2106" s="110">
        <v>1010487.33</v>
      </c>
    </row>
    <row r="2107" spans="1:12" x14ac:dyDescent="0.2">
      <c r="A2107" t="s">
        <v>53</v>
      </c>
      <c r="B2107" t="s">
        <v>107</v>
      </c>
      <c r="C2107" t="s">
        <v>191</v>
      </c>
      <c r="D2107" s="110">
        <v>1125846.1000000001</v>
      </c>
      <c r="E2107" s="110">
        <v>1125846.1000000001</v>
      </c>
      <c r="F2107" s="110">
        <v>1125846.1000000001</v>
      </c>
      <c r="G2107" s="110">
        <v>1125846.1000000001</v>
      </c>
      <c r="I2107" s="110">
        <v>1124215.83</v>
      </c>
      <c r="J2107" s="110">
        <v>1124651.6000000001</v>
      </c>
      <c r="K2107" s="110">
        <v>1124651.6000000001</v>
      </c>
      <c r="L2107" s="110">
        <v>1124651.6000000001</v>
      </c>
    </row>
    <row r="2108" spans="1:12" x14ac:dyDescent="0.2">
      <c r="A2108" t="s">
        <v>53</v>
      </c>
      <c r="B2108" t="s">
        <v>107</v>
      </c>
      <c r="C2108" t="s">
        <v>192</v>
      </c>
      <c r="D2108" s="110">
        <v>1174782.6399999999</v>
      </c>
      <c r="E2108" s="110">
        <v>1174782.6399999999</v>
      </c>
      <c r="F2108" s="110">
        <v>1174782.6399999999</v>
      </c>
      <c r="I2108" s="110">
        <v>1173414.94</v>
      </c>
      <c r="J2108" s="110">
        <v>1173726.6399999999</v>
      </c>
      <c r="K2108" s="110">
        <v>1173726.6399999999</v>
      </c>
    </row>
    <row r="2109" spans="1:12" x14ac:dyDescent="0.2">
      <c r="A2109" t="s">
        <v>53</v>
      </c>
      <c r="B2109" t="s">
        <v>107</v>
      </c>
      <c r="C2109" t="s">
        <v>193</v>
      </c>
      <c r="D2109" s="110">
        <v>996661.73</v>
      </c>
      <c r="E2109" s="110">
        <v>996661.73</v>
      </c>
      <c r="I2109" s="110">
        <v>993991.86</v>
      </c>
      <c r="J2109" s="110">
        <v>994434.88</v>
      </c>
    </row>
    <row r="2110" spans="1:12" x14ac:dyDescent="0.2">
      <c r="A2110" t="s">
        <v>53</v>
      </c>
      <c r="B2110" t="s">
        <v>107</v>
      </c>
      <c r="C2110" t="s">
        <v>194</v>
      </c>
      <c r="D2110" s="110">
        <v>1145930.03</v>
      </c>
      <c r="I2110" s="110">
        <v>1142382.03</v>
      </c>
    </row>
    <row r="2111" spans="1:12" x14ac:dyDescent="0.2">
      <c r="A2111" t="s">
        <v>53</v>
      </c>
      <c r="B2111" t="s">
        <v>108</v>
      </c>
      <c r="C2111" t="s">
        <v>191</v>
      </c>
      <c r="D2111" s="110">
        <v>182451.36</v>
      </c>
      <c r="E2111" s="110">
        <v>182451.36</v>
      </c>
      <c r="F2111" s="110">
        <v>182451.36</v>
      </c>
      <c r="G2111" s="110">
        <v>182451.36</v>
      </c>
      <c r="I2111" s="110">
        <v>180961.36</v>
      </c>
      <c r="J2111" s="110">
        <v>181640.36</v>
      </c>
      <c r="K2111" s="110">
        <v>181985.36</v>
      </c>
      <c r="L2111" s="110">
        <v>181985.36</v>
      </c>
    </row>
    <row r="2112" spans="1:12" x14ac:dyDescent="0.2">
      <c r="A2112" t="s">
        <v>53</v>
      </c>
      <c r="B2112" t="s">
        <v>108</v>
      </c>
      <c r="C2112" t="s">
        <v>192</v>
      </c>
      <c r="D2112" s="110">
        <v>216509.2</v>
      </c>
      <c r="E2112" s="110">
        <v>216109.2</v>
      </c>
      <c r="F2112" s="110">
        <v>216109.2</v>
      </c>
      <c r="I2112" s="110">
        <v>215316.2</v>
      </c>
      <c r="J2112" s="110">
        <v>215823.2</v>
      </c>
      <c r="K2112" s="110">
        <v>215823.2</v>
      </c>
    </row>
    <row r="2113" spans="1:12" x14ac:dyDescent="0.2">
      <c r="A2113" t="s">
        <v>53</v>
      </c>
      <c r="B2113" t="s">
        <v>108</v>
      </c>
      <c r="C2113" t="s">
        <v>193</v>
      </c>
      <c r="D2113" s="110">
        <v>218449.88</v>
      </c>
      <c r="E2113" s="110">
        <v>217873.88</v>
      </c>
      <c r="I2113" s="110">
        <v>214088.88</v>
      </c>
      <c r="J2113" s="110">
        <v>215260.88</v>
      </c>
    </row>
    <row r="2114" spans="1:12" x14ac:dyDescent="0.2">
      <c r="A2114" t="s">
        <v>53</v>
      </c>
      <c r="B2114" t="s">
        <v>108</v>
      </c>
      <c r="C2114" t="s">
        <v>194</v>
      </c>
      <c r="D2114" s="110">
        <v>204456.97</v>
      </c>
      <c r="I2114" s="110">
        <v>201046.97</v>
      </c>
    </row>
    <row r="2115" spans="1:12" x14ac:dyDescent="0.2">
      <c r="A2115" t="s">
        <v>53</v>
      </c>
      <c r="B2115" t="s">
        <v>70</v>
      </c>
      <c r="C2115" t="s">
        <v>191</v>
      </c>
      <c r="D2115" s="110">
        <v>254653.75</v>
      </c>
      <c r="E2115" s="110">
        <v>254653.75</v>
      </c>
      <c r="F2115" s="110">
        <v>254653.75</v>
      </c>
      <c r="G2115" s="110">
        <v>254653.75</v>
      </c>
      <c r="I2115" s="110">
        <v>249584.75</v>
      </c>
      <c r="J2115" s="110">
        <v>250582.75</v>
      </c>
      <c r="K2115" s="110">
        <v>250582.75</v>
      </c>
      <c r="L2115" s="110">
        <v>250582.75</v>
      </c>
    </row>
    <row r="2116" spans="1:12" x14ac:dyDescent="0.2">
      <c r="A2116" t="s">
        <v>53</v>
      </c>
      <c r="B2116" t="s">
        <v>70</v>
      </c>
      <c r="C2116" t="s">
        <v>192</v>
      </c>
      <c r="D2116" s="110">
        <v>295840.96000000002</v>
      </c>
      <c r="E2116" s="110">
        <v>295250.96000000002</v>
      </c>
      <c r="F2116" s="110">
        <v>295250.96000000002</v>
      </c>
      <c r="I2116" s="110">
        <v>291414.96000000002</v>
      </c>
      <c r="J2116" s="110">
        <v>292939.96000000002</v>
      </c>
      <c r="K2116" s="110">
        <v>292939.96000000002</v>
      </c>
    </row>
    <row r="2117" spans="1:12" x14ac:dyDescent="0.2">
      <c r="A2117" t="s">
        <v>53</v>
      </c>
      <c r="B2117" t="s">
        <v>70</v>
      </c>
      <c r="C2117" t="s">
        <v>193</v>
      </c>
      <c r="D2117" s="110">
        <v>334423.71000000002</v>
      </c>
      <c r="E2117" s="110">
        <v>333815.71000000002</v>
      </c>
      <c r="I2117" s="110">
        <v>326395.71000000002</v>
      </c>
      <c r="J2117" s="110">
        <v>327983.71000000002</v>
      </c>
    </row>
    <row r="2118" spans="1:12" x14ac:dyDescent="0.2">
      <c r="A2118" t="s">
        <v>53</v>
      </c>
      <c r="B2118" t="s">
        <v>70</v>
      </c>
      <c r="C2118" t="s">
        <v>194</v>
      </c>
      <c r="D2118" s="110">
        <v>277673.78000000003</v>
      </c>
      <c r="I2118" s="110">
        <v>271213.75</v>
      </c>
    </row>
    <row r="2119" spans="1:12" x14ac:dyDescent="0.2">
      <c r="A2119" t="s">
        <v>53</v>
      </c>
      <c r="B2119" t="s">
        <v>110</v>
      </c>
      <c r="C2119" t="s">
        <v>191</v>
      </c>
      <c r="D2119" s="110">
        <v>3659135.46</v>
      </c>
      <c r="E2119" s="110">
        <v>3588924.86</v>
      </c>
      <c r="F2119" s="110">
        <v>3587903.35</v>
      </c>
      <c r="G2119" s="110">
        <v>3587161</v>
      </c>
      <c r="I2119" s="110">
        <v>1596995.41</v>
      </c>
      <c r="J2119" s="110">
        <v>2868661.74</v>
      </c>
      <c r="K2119" s="110">
        <v>3088321.7</v>
      </c>
      <c r="L2119" s="110">
        <v>3152145.11</v>
      </c>
    </row>
    <row r="2120" spans="1:12" x14ac:dyDescent="0.2">
      <c r="A2120" t="s">
        <v>53</v>
      </c>
      <c r="B2120" t="s">
        <v>110</v>
      </c>
      <c r="C2120" t="s">
        <v>192</v>
      </c>
      <c r="D2120" s="110">
        <v>4224373.75</v>
      </c>
      <c r="E2120" s="110">
        <v>4157604.4</v>
      </c>
      <c r="F2120" s="110">
        <v>4151913.38</v>
      </c>
      <c r="I2120" s="110">
        <v>1897696.86</v>
      </c>
      <c r="J2120" s="110">
        <v>3291587.38</v>
      </c>
      <c r="K2120" s="110">
        <v>3528124.7</v>
      </c>
    </row>
    <row r="2121" spans="1:12" x14ac:dyDescent="0.2">
      <c r="A2121" t="s">
        <v>53</v>
      </c>
      <c r="B2121" t="s">
        <v>110</v>
      </c>
      <c r="C2121" t="s">
        <v>193</v>
      </c>
      <c r="D2121" s="110">
        <v>4557963.4800000004</v>
      </c>
      <c r="E2121" s="110">
        <v>4468092.51</v>
      </c>
      <c r="I2121" s="110">
        <v>2060514.85</v>
      </c>
      <c r="J2121" s="110">
        <v>3448236.73</v>
      </c>
    </row>
    <row r="2122" spans="1:12" x14ac:dyDescent="0.2">
      <c r="A2122" t="s">
        <v>53</v>
      </c>
      <c r="B2122" t="s">
        <v>110</v>
      </c>
      <c r="C2122" t="s">
        <v>194</v>
      </c>
      <c r="D2122" s="110">
        <v>4539738.03</v>
      </c>
      <c r="I2122" s="110">
        <v>2027915.56</v>
      </c>
    </row>
    <row r="2123" spans="1:12" x14ac:dyDescent="0.2">
      <c r="A2123" t="s">
        <v>54</v>
      </c>
      <c r="B2123" t="s">
        <v>104</v>
      </c>
      <c r="C2123" t="s">
        <v>191</v>
      </c>
      <c r="D2123" s="110">
        <v>302237.15999999997</v>
      </c>
      <c r="E2123" s="110">
        <v>303694.15999999997</v>
      </c>
      <c r="F2123" s="110">
        <v>304387.82</v>
      </c>
      <c r="G2123" s="110">
        <v>303983.48</v>
      </c>
      <c r="I2123" s="110">
        <v>2189.06</v>
      </c>
      <c r="J2123" s="110">
        <v>6447.36</v>
      </c>
      <c r="K2123" s="110">
        <v>12195.8</v>
      </c>
      <c r="L2123" s="110">
        <v>15653.92</v>
      </c>
    </row>
    <row r="2124" spans="1:12" x14ac:dyDescent="0.2">
      <c r="A2124" t="s">
        <v>54</v>
      </c>
      <c r="B2124" t="s">
        <v>104</v>
      </c>
      <c r="C2124" t="s">
        <v>192</v>
      </c>
      <c r="D2124" s="110">
        <v>174187.03</v>
      </c>
      <c r="E2124" s="110">
        <v>175995.03</v>
      </c>
      <c r="F2124" s="110">
        <v>175312.03</v>
      </c>
      <c r="I2124" s="110">
        <v>1636.89</v>
      </c>
      <c r="J2124" s="110">
        <v>6347.86</v>
      </c>
      <c r="K2124" s="110">
        <v>9326.1200000000008</v>
      </c>
    </row>
    <row r="2125" spans="1:12" x14ac:dyDescent="0.2">
      <c r="A2125" t="s">
        <v>54</v>
      </c>
      <c r="B2125" t="s">
        <v>104</v>
      </c>
      <c r="C2125" t="s">
        <v>193</v>
      </c>
      <c r="D2125" s="110">
        <v>291453.12</v>
      </c>
      <c r="E2125" s="110">
        <v>290775.81</v>
      </c>
      <c r="I2125" s="110">
        <v>3493.58</v>
      </c>
      <c r="J2125" s="110">
        <v>11283.56</v>
      </c>
    </row>
    <row r="2126" spans="1:12" x14ac:dyDescent="0.2">
      <c r="A2126" t="s">
        <v>54</v>
      </c>
      <c r="B2126" t="s">
        <v>104</v>
      </c>
      <c r="C2126" t="s">
        <v>194</v>
      </c>
      <c r="D2126" s="110">
        <v>273013.73</v>
      </c>
      <c r="I2126" s="110">
        <v>2110.79</v>
      </c>
    </row>
    <row r="2127" spans="1:12" x14ac:dyDescent="0.2">
      <c r="A2127" t="s">
        <v>54</v>
      </c>
      <c r="B2127" t="s">
        <v>140</v>
      </c>
      <c r="C2127" t="s">
        <v>191</v>
      </c>
      <c r="D2127" s="110">
        <v>106490.28</v>
      </c>
      <c r="E2127" s="110">
        <v>106490.28</v>
      </c>
      <c r="F2127" s="110">
        <v>106490.28</v>
      </c>
      <c r="G2127" s="110">
        <v>106490.28</v>
      </c>
    </row>
    <row r="2128" spans="1:12" x14ac:dyDescent="0.2">
      <c r="A2128" t="s">
        <v>54</v>
      </c>
      <c r="B2128" t="s">
        <v>140</v>
      </c>
      <c r="C2128" t="s">
        <v>192</v>
      </c>
    </row>
    <row r="2129" spans="1:12" x14ac:dyDescent="0.2">
      <c r="A2129" t="s">
        <v>54</v>
      </c>
      <c r="B2129" t="s">
        <v>140</v>
      </c>
      <c r="C2129" t="s">
        <v>193</v>
      </c>
      <c r="D2129" s="110">
        <v>105000</v>
      </c>
      <c r="E2129" s="110">
        <v>106495.83</v>
      </c>
    </row>
    <row r="2130" spans="1:12" x14ac:dyDescent="0.2">
      <c r="A2130" t="s">
        <v>54</v>
      </c>
      <c r="B2130" t="s">
        <v>140</v>
      </c>
      <c r="C2130" t="s">
        <v>194</v>
      </c>
      <c r="D2130" s="110">
        <v>53280</v>
      </c>
    </row>
    <row r="2131" spans="1:12" x14ac:dyDescent="0.2">
      <c r="A2131" t="s">
        <v>54</v>
      </c>
      <c r="B2131" t="s">
        <v>105</v>
      </c>
      <c r="C2131" t="s">
        <v>191</v>
      </c>
      <c r="D2131" s="110">
        <v>100084.19</v>
      </c>
      <c r="E2131" s="110">
        <v>100054.89</v>
      </c>
      <c r="F2131" s="110">
        <v>100054.89</v>
      </c>
      <c r="G2131" s="110">
        <v>100073.89</v>
      </c>
      <c r="I2131" s="110">
        <v>9653.2000000000007</v>
      </c>
      <c r="J2131" s="110">
        <v>22321.9</v>
      </c>
      <c r="K2131" s="110">
        <v>31578.35</v>
      </c>
      <c r="L2131" s="110">
        <v>34363.33</v>
      </c>
    </row>
    <row r="2132" spans="1:12" x14ac:dyDescent="0.2">
      <c r="A2132" t="s">
        <v>54</v>
      </c>
      <c r="B2132" t="s">
        <v>105</v>
      </c>
      <c r="C2132" t="s">
        <v>192</v>
      </c>
      <c r="D2132" s="110">
        <v>75537.009999999995</v>
      </c>
      <c r="E2132" s="110">
        <v>75537.009999999995</v>
      </c>
      <c r="F2132" s="110">
        <v>75899.009999999995</v>
      </c>
      <c r="I2132" s="110">
        <v>5569.78</v>
      </c>
      <c r="J2132" s="110">
        <v>15636.45</v>
      </c>
      <c r="K2132" s="110">
        <v>22276.97</v>
      </c>
    </row>
    <row r="2133" spans="1:12" x14ac:dyDescent="0.2">
      <c r="A2133" t="s">
        <v>54</v>
      </c>
      <c r="B2133" t="s">
        <v>105</v>
      </c>
      <c r="C2133" t="s">
        <v>193</v>
      </c>
      <c r="D2133" s="110">
        <v>87508.800000000003</v>
      </c>
      <c r="E2133" s="110">
        <v>87500.800000000003</v>
      </c>
      <c r="I2133" s="110">
        <v>8472.32</v>
      </c>
      <c r="J2133" s="110">
        <v>17934.09</v>
      </c>
    </row>
    <row r="2134" spans="1:12" x14ac:dyDescent="0.2">
      <c r="A2134" t="s">
        <v>54</v>
      </c>
      <c r="B2134" t="s">
        <v>105</v>
      </c>
      <c r="C2134" t="s">
        <v>194</v>
      </c>
      <c r="D2134" s="110">
        <v>98634.2</v>
      </c>
      <c r="I2134" s="110">
        <v>6247.2</v>
      </c>
    </row>
    <row r="2135" spans="1:12" x14ac:dyDescent="0.2">
      <c r="A2135" t="s">
        <v>54</v>
      </c>
      <c r="B2135" t="s">
        <v>111</v>
      </c>
      <c r="C2135" t="s">
        <v>191</v>
      </c>
      <c r="D2135" s="110">
        <v>1500</v>
      </c>
      <c r="E2135" s="110">
        <v>1500</v>
      </c>
      <c r="F2135" s="110">
        <v>1500</v>
      </c>
      <c r="G2135" s="110">
        <v>1500</v>
      </c>
    </row>
    <row r="2136" spans="1:12" x14ac:dyDescent="0.2">
      <c r="A2136" t="s">
        <v>54</v>
      </c>
      <c r="B2136" t="s">
        <v>111</v>
      </c>
      <c r="C2136" t="s">
        <v>192</v>
      </c>
      <c r="D2136" s="110">
        <v>3703.5</v>
      </c>
      <c r="E2136" s="110">
        <v>3703.5</v>
      </c>
      <c r="F2136" s="110">
        <v>3703.5</v>
      </c>
      <c r="I2136" s="110">
        <v>103.5</v>
      </c>
      <c r="J2136" s="110">
        <v>103.5</v>
      </c>
      <c r="K2136" s="110">
        <v>103.5</v>
      </c>
    </row>
    <row r="2137" spans="1:12" x14ac:dyDescent="0.2">
      <c r="A2137" t="s">
        <v>54</v>
      </c>
      <c r="B2137" t="s">
        <v>111</v>
      </c>
      <c r="C2137" t="s">
        <v>193</v>
      </c>
      <c r="D2137" s="110">
        <v>8120</v>
      </c>
      <c r="E2137" s="110">
        <v>8120</v>
      </c>
      <c r="I2137" s="110">
        <v>150</v>
      </c>
      <c r="J2137" s="110">
        <v>150</v>
      </c>
    </row>
    <row r="2138" spans="1:12" x14ac:dyDescent="0.2">
      <c r="A2138" t="s">
        <v>54</v>
      </c>
      <c r="B2138" t="s">
        <v>111</v>
      </c>
      <c r="C2138" t="s">
        <v>194</v>
      </c>
      <c r="D2138" s="110">
        <v>4370</v>
      </c>
    </row>
    <row r="2139" spans="1:12" x14ac:dyDescent="0.2">
      <c r="A2139" t="s">
        <v>54</v>
      </c>
      <c r="B2139" t="s">
        <v>109</v>
      </c>
      <c r="C2139" t="s">
        <v>191</v>
      </c>
      <c r="D2139" s="110">
        <v>80421.990000000005</v>
      </c>
      <c r="E2139" s="110">
        <v>80088.990000000005</v>
      </c>
      <c r="F2139" s="110">
        <v>80088.990000000005</v>
      </c>
      <c r="G2139" s="110">
        <v>80088.990000000005</v>
      </c>
      <c r="I2139" s="110">
        <v>20278.5</v>
      </c>
      <c r="J2139" s="110">
        <v>38604.46</v>
      </c>
      <c r="K2139" s="110">
        <v>47508.71</v>
      </c>
      <c r="L2139" s="110">
        <v>49857.71</v>
      </c>
    </row>
    <row r="2140" spans="1:12" x14ac:dyDescent="0.2">
      <c r="A2140" t="s">
        <v>54</v>
      </c>
      <c r="B2140" t="s">
        <v>109</v>
      </c>
      <c r="C2140" t="s">
        <v>192</v>
      </c>
      <c r="D2140" s="110">
        <v>59898.3</v>
      </c>
      <c r="E2140" s="110">
        <v>59998.3</v>
      </c>
      <c r="F2140" s="110">
        <v>59998.3</v>
      </c>
      <c r="I2140" s="110">
        <v>20963</v>
      </c>
      <c r="J2140" s="110">
        <v>30714.16</v>
      </c>
      <c r="K2140" s="110">
        <v>34362.660000000003</v>
      </c>
    </row>
    <row r="2141" spans="1:12" x14ac:dyDescent="0.2">
      <c r="A2141" t="s">
        <v>54</v>
      </c>
      <c r="B2141" t="s">
        <v>109</v>
      </c>
      <c r="C2141" t="s">
        <v>193</v>
      </c>
      <c r="D2141" s="110">
        <v>78467.14</v>
      </c>
      <c r="E2141" s="110">
        <v>79117.14</v>
      </c>
      <c r="I2141" s="110">
        <v>20017</v>
      </c>
      <c r="J2141" s="110">
        <v>36898.089999999997</v>
      </c>
    </row>
    <row r="2142" spans="1:12" x14ac:dyDescent="0.2">
      <c r="A2142" t="s">
        <v>54</v>
      </c>
      <c r="B2142" t="s">
        <v>109</v>
      </c>
      <c r="C2142" t="s">
        <v>194</v>
      </c>
      <c r="D2142" s="110">
        <v>80116</v>
      </c>
      <c r="I2142" s="110">
        <v>21448.95</v>
      </c>
    </row>
    <row r="2143" spans="1:12" x14ac:dyDescent="0.2">
      <c r="A2143" t="s">
        <v>54</v>
      </c>
      <c r="B2143" t="s">
        <v>106</v>
      </c>
      <c r="C2143" t="s">
        <v>191</v>
      </c>
      <c r="D2143" s="110">
        <v>49006.5</v>
      </c>
      <c r="E2143" s="110">
        <v>49006.5</v>
      </c>
      <c r="F2143" s="110">
        <v>49006.5</v>
      </c>
      <c r="G2143" s="110">
        <v>49006.5</v>
      </c>
      <c r="I2143" s="110">
        <v>47800.5</v>
      </c>
      <c r="J2143" s="110">
        <v>49006.5</v>
      </c>
      <c r="K2143" s="110">
        <v>49006.5</v>
      </c>
      <c r="L2143" s="110">
        <v>49006.5</v>
      </c>
    </row>
    <row r="2144" spans="1:12" x14ac:dyDescent="0.2">
      <c r="A2144" t="s">
        <v>54</v>
      </c>
      <c r="B2144" t="s">
        <v>106</v>
      </c>
      <c r="C2144" t="s">
        <v>192</v>
      </c>
      <c r="D2144" s="110">
        <v>78013.5</v>
      </c>
      <c r="E2144" s="110">
        <v>78013.5</v>
      </c>
      <c r="F2144" s="110">
        <v>78013.5</v>
      </c>
      <c r="I2144" s="110">
        <v>72850</v>
      </c>
      <c r="J2144" s="110">
        <v>78013.5</v>
      </c>
      <c r="K2144" s="110">
        <v>78013.5</v>
      </c>
    </row>
    <row r="2145" spans="1:12" x14ac:dyDescent="0.2">
      <c r="A2145" t="s">
        <v>54</v>
      </c>
      <c r="B2145" t="s">
        <v>106</v>
      </c>
      <c r="C2145" t="s">
        <v>193</v>
      </c>
      <c r="D2145" s="110">
        <v>102458.16</v>
      </c>
      <c r="E2145" s="110">
        <v>102458.16</v>
      </c>
      <c r="I2145" s="110">
        <v>95171.16</v>
      </c>
      <c r="J2145" s="110">
        <v>96620.160000000003</v>
      </c>
    </row>
    <row r="2146" spans="1:12" x14ac:dyDescent="0.2">
      <c r="A2146" t="s">
        <v>54</v>
      </c>
      <c r="B2146" t="s">
        <v>106</v>
      </c>
      <c r="C2146" t="s">
        <v>194</v>
      </c>
      <c r="D2146" s="110">
        <v>80016.28</v>
      </c>
      <c r="I2146" s="110">
        <v>78849.78</v>
      </c>
    </row>
    <row r="2147" spans="1:12" x14ac:dyDescent="0.2">
      <c r="A2147" t="s">
        <v>54</v>
      </c>
      <c r="B2147" t="s">
        <v>107</v>
      </c>
      <c r="C2147" t="s">
        <v>191</v>
      </c>
      <c r="D2147" s="110">
        <v>66868.179999999993</v>
      </c>
      <c r="E2147" s="110">
        <v>66858.179999999993</v>
      </c>
      <c r="F2147" s="110">
        <v>66858.179999999993</v>
      </c>
      <c r="G2147" s="110">
        <v>66858.179999999993</v>
      </c>
      <c r="I2147" s="110">
        <v>62903.18</v>
      </c>
      <c r="J2147" s="110">
        <v>66673.179999999993</v>
      </c>
      <c r="K2147" s="110">
        <v>66673.179999999993</v>
      </c>
      <c r="L2147" s="110">
        <v>66673.179999999993</v>
      </c>
    </row>
    <row r="2148" spans="1:12" x14ac:dyDescent="0.2">
      <c r="A2148" t="s">
        <v>54</v>
      </c>
      <c r="B2148" t="s">
        <v>107</v>
      </c>
      <c r="C2148" t="s">
        <v>192</v>
      </c>
      <c r="D2148" s="110">
        <v>68928.52</v>
      </c>
      <c r="E2148" s="110">
        <v>69017.52</v>
      </c>
      <c r="F2148" s="110">
        <v>69017.52</v>
      </c>
      <c r="I2148" s="110">
        <v>65633.52</v>
      </c>
      <c r="J2148" s="110">
        <v>67958.52</v>
      </c>
      <c r="K2148" s="110">
        <v>67958.52</v>
      </c>
    </row>
    <row r="2149" spans="1:12" x14ac:dyDescent="0.2">
      <c r="A2149" t="s">
        <v>54</v>
      </c>
      <c r="B2149" t="s">
        <v>107</v>
      </c>
      <c r="C2149" t="s">
        <v>193</v>
      </c>
      <c r="D2149" s="110">
        <v>77624.89</v>
      </c>
      <c r="E2149" s="110">
        <v>77624.89</v>
      </c>
      <c r="I2149" s="110">
        <v>76514.89</v>
      </c>
      <c r="J2149" s="110">
        <v>76649.89</v>
      </c>
    </row>
    <row r="2150" spans="1:12" x14ac:dyDescent="0.2">
      <c r="A2150" t="s">
        <v>54</v>
      </c>
      <c r="B2150" t="s">
        <v>107</v>
      </c>
      <c r="C2150" t="s">
        <v>194</v>
      </c>
      <c r="D2150" s="110">
        <v>84915.1</v>
      </c>
      <c r="I2150" s="110">
        <v>83220.100000000006</v>
      </c>
    </row>
    <row r="2151" spans="1:12" x14ac:dyDescent="0.2">
      <c r="A2151" t="s">
        <v>54</v>
      </c>
      <c r="B2151" t="s">
        <v>108</v>
      </c>
      <c r="C2151" t="s">
        <v>191</v>
      </c>
      <c r="D2151" s="110">
        <v>27883</v>
      </c>
      <c r="E2151" s="110">
        <v>27883</v>
      </c>
      <c r="F2151" s="110">
        <v>27883</v>
      </c>
      <c r="G2151" s="110">
        <v>27883</v>
      </c>
      <c r="I2151" s="110">
        <v>27303</v>
      </c>
      <c r="J2151" s="110">
        <v>27648</v>
      </c>
      <c r="K2151" s="110">
        <v>27648</v>
      </c>
      <c r="L2151" s="110">
        <v>27648</v>
      </c>
    </row>
    <row r="2152" spans="1:12" x14ac:dyDescent="0.2">
      <c r="A2152" t="s">
        <v>54</v>
      </c>
      <c r="B2152" t="s">
        <v>108</v>
      </c>
      <c r="C2152" t="s">
        <v>192</v>
      </c>
      <c r="D2152" s="110">
        <v>28389</v>
      </c>
      <c r="E2152" s="110">
        <v>30164</v>
      </c>
      <c r="F2152" s="110">
        <v>30164</v>
      </c>
      <c r="I2152" s="110">
        <v>28044</v>
      </c>
      <c r="J2152" s="110">
        <v>28439</v>
      </c>
      <c r="K2152" s="110">
        <v>28439</v>
      </c>
    </row>
    <row r="2153" spans="1:12" x14ac:dyDescent="0.2">
      <c r="A2153" t="s">
        <v>54</v>
      </c>
      <c r="B2153" t="s">
        <v>108</v>
      </c>
      <c r="C2153" t="s">
        <v>193</v>
      </c>
      <c r="D2153" s="110">
        <v>34233.300000000003</v>
      </c>
      <c r="E2153" s="110">
        <v>34233.300000000003</v>
      </c>
      <c r="I2153" s="110">
        <v>33888.300000000003</v>
      </c>
      <c r="J2153" s="110">
        <v>33888.300000000003</v>
      </c>
    </row>
    <row r="2154" spans="1:12" x14ac:dyDescent="0.2">
      <c r="A2154" t="s">
        <v>54</v>
      </c>
      <c r="B2154" t="s">
        <v>108</v>
      </c>
      <c r="C2154" t="s">
        <v>194</v>
      </c>
      <c r="D2154" s="110">
        <v>27538</v>
      </c>
      <c r="I2154" s="110">
        <v>25648</v>
      </c>
    </row>
    <row r="2155" spans="1:12" x14ac:dyDescent="0.2">
      <c r="A2155" t="s">
        <v>54</v>
      </c>
      <c r="B2155" t="s">
        <v>70</v>
      </c>
      <c r="C2155" t="s">
        <v>191</v>
      </c>
      <c r="D2155" s="110">
        <v>38030.800000000003</v>
      </c>
      <c r="E2155" s="110">
        <v>37312.800000000003</v>
      </c>
      <c r="F2155" s="110">
        <v>36887.800000000003</v>
      </c>
      <c r="G2155" s="110">
        <v>36887.800000000003</v>
      </c>
      <c r="I2155" s="110">
        <v>32901.800000000003</v>
      </c>
      <c r="J2155" s="110">
        <v>34360.800000000003</v>
      </c>
      <c r="K2155" s="110">
        <v>34524.26</v>
      </c>
      <c r="L2155" s="110">
        <v>34678.1</v>
      </c>
    </row>
    <row r="2156" spans="1:12" x14ac:dyDescent="0.2">
      <c r="A2156" t="s">
        <v>54</v>
      </c>
      <c r="B2156" t="s">
        <v>70</v>
      </c>
      <c r="C2156" t="s">
        <v>192</v>
      </c>
      <c r="D2156" s="110">
        <v>40718.400000000001</v>
      </c>
      <c r="E2156" s="110">
        <v>40418.400000000001</v>
      </c>
      <c r="F2156" s="110">
        <v>40418.400000000001</v>
      </c>
      <c r="I2156" s="110">
        <v>34806.9</v>
      </c>
      <c r="J2156" s="110">
        <v>36722.9</v>
      </c>
      <c r="K2156" s="110">
        <v>37327.9</v>
      </c>
    </row>
    <row r="2157" spans="1:12" x14ac:dyDescent="0.2">
      <c r="A2157" t="s">
        <v>54</v>
      </c>
      <c r="B2157" t="s">
        <v>70</v>
      </c>
      <c r="C2157" t="s">
        <v>193</v>
      </c>
      <c r="D2157" s="110">
        <v>36857.25</v>
      </c>
      <c r="E2157" s="110">
        <v>35741.25</v>
      </c>
      <c r="I2157" s="110">
        <v>35033.25</v>
      </c>
      <c r="J2157" s="110">
        <v>35033.25</v>
      </c>
    </row>
    <row r="2158" spans="1:12" x14ac:dyDescent="0.2">
      <c r="A2158" t="s">
        <v>54</v>
      </c>
      <c r="B2158" t="s">
        <v>70</v>
      </c>
      <c r="C2158" t="s">
        <v>194</v>
      </c>
      <c r="D2158" s="110">
        <v>45807.75</v>
      </c>
      <c r="I2158" s="110">
        <v>38349.75</v>
      </c>
    </row>
    <row r="2159" spans="1:12" x14ac:dyDescent="0.2">
      <c r="A2159" t="s">
        <v>54</v>
      </c>
      <c r="B2159" t="s">
        <v>110</v>
      </c>
      <c r="C2159" t="s">
        <v>191</v>
      </c>
      <c r="D2159" s="110">
        <v>161126.54999999999</v>
      </c>
      <c r="E2159" s="110">
        <v>210571.55</v>
      </c>
      <c r="F2159" s="110">
        <v>201232.55</v>
      </c>
      <c r="G2159" s="110">
        <v>200796.7</v>
      </c>
      <c r="I2159" s="110">
        <v>42863.05</v>
      </c>
      <c r="J2159" s="110">
        <v>94421.05</v>
      </c>
      <c r="K2159" s="110">
        <v>99937.55</v>
      </c>
      <c r="L2159" s="110">
        <v>105985.31</v>
      </c>
    </row>
    <row r="2160" spans="1:12" x14ac:dyDescent="0.2">
      <c r="A2160" t="s">
        <v>54</v>
      </c>
      <c r="B2160" t="s">
        <v>110</v>
      </c>
      <c r="C2160" t="s">
        <v>192</v>
      </c>
      <c r="D2160" s="110">
        <v>124223.75</v>
      </c>
      <c r="E2160" s="110">
        <v>119684.23</v>
      </c>
      <c r="F2160" s="110">
        <v>118066.96</v>
      </c>
      <c r="I2160" s="110">
        <v>44668.25</v>
      </c>
      <c r="J2160" s="110">
        <v>81631.23</v>
      </c>
      <c r="K2160" s="110">
        <v>93431.96</v>
      </c>
    </row>
    <row r="2161" spans="1:12" x14ac:dyDescent="0.2">
      <c r="A2161" t="s">
        <v>54</v>
      </c>
      <c r="B2161" t="s">
        <v>110</v>
      </c>
      <c r="C2161" t="s">
        <v>193</v>
      </c>
      <c r="D2161" s="110">
        <v>118238</v>
      </c>
      <c r="E2161" s="110">
        <v>113876.4</v>
      </c>
      <c r="I2161" s="110">
        <v>38492</v>
      </c>
      <c r="J2161" s="110">
        <v>70232.649999999994</v>
      </c>
    </row>
    <row r="2162" spans="1:12" x14ac:dyDescent="0.2">
      <c r="A2162" t="s">
        <v>54</v>
      </c>
      <c r="B2162" t="s">
        <v>110</v>
      </c>
      <c r="C2162" t="s">
        <v>194</v>
      </c>
      <c r="D2162" s="110">
        <v>130468.8</v>
      </c>
      <c r="I2162" s="110">
        <v>37067.800000000003</v>
      </c>
    </row>
    <row r="2163" spans="1:12" x14ac:dyDescent="0.2">
      <c r="A2163" t="s">
        <v>225</v>
      </c>
      <c r="B2163" t="s">
        <v>104</v>
      </c>
      <c r="C2163" t="s">
        <v>191</v>
      </c>
      <c r="D2163" s="110">
        <v>287815.25</v>
      </c>
      <c r="E2163" s="110">
        <v>287297.25</v>
      </c>
      <c r="F2163" s="110">
        <v>287083.25</v>
      </c>
      <c r="G2163" s="110">
        <v>286241.25</v>
      </c>
      <c r="I2163" s="110">
        <v>12016.79</v>
      </c>
      <c r="J2163" s="110">
        <v>20518.34</v>
      </c>
      <c r="K2163" s="110">
        <v>27355.360000000001</v>
      </c>
      <c r="L2163" s="110">
        <v>34012</v>
      </c>
    </row>
    <row r="2164" spans="1:12" x14ac:dyDescent="0.2">
      <c r="A2164" t="s">
        <v>225</v>
      </c>
      <c r="B2164" t="s">
        <v>104</v>
      </c>
      <c r="C2164" t="s">
        <v>192</v>
      </c>
      <c r="D2164" s="110">
        <v>765234</v>
      </c>
      <c r="E2164" s="110">
        <v>765473</v>
      </c>
      <c r="F2164" s="110">
        <v>763985</v>
      </c>
      <c r="I2164" s="110">
        <v>15345.02</v>
      </c>
      <c r="J2164" s="110">
        <v>24559.759999999998</v>
      </c>
      <c r="K2164" s="110">
        <v>30435.51</v>
      </c>
    </row>
    <row r="2165" spans="1:12" x14ac:dyDescent="0.2">
      <c r="A2165" t="s">
        <v>225</v>
      </c>
      <c r="B2165" t="s">
        <v>104</v>
      </c>
      <c r="C2165" t="s">
        <v>193</v>
      </c>
      <c r="D2165" s="110">
        <v>470366.39</v>
      </c>
      <c r="E2165" s="110">
        <v>469959.39</v>
      </c>
      <c r="I2165" s="110">
        <v>12272.48</v>
      </c>
      <c r="J2165" s="110">
        <v>21997.43</v>
      </c>
    </row>
    <row r="2166" spans="1:12" x14ac:dyDescent="0.2">
      <c r="A2166" t="s">
        <v>225</v>
      </c>
      <c r="B2166" t="s">
        <v>104</v>
      </c>
      <c r="C2166" t="s">
        <v>194</v>
      </c>
      <c r="D2166" s="110">
        <v>475067.5</v>
      </c>
      <c r="I2166" s="110">
        <v>12063.82</v>
      </c>
    </row>
    <row r="2167" spans="1:12" x14ac:dyDescent="0.2">
      <c r="A2167" t="s">
        <v>225</v>
      </c>
      <c r="B2167" t="s">
        <v>140</v>
      </c>
      <c r="C2167" t="s">
        <v>191</v>
      </c>
      <c r="D2167" s="110">
        <v>53118</v>
      </c>
      <c r="E2167" s="110">
        <v>53118</v>
      </c>
      <c r="F2167" s="110">
        <v>53118</v>
      </c>
      <c r="G2167" s="110">
        <v>53118</v>
      </c>
    </row>
    <row r="2168" spans="1:12" x14ac:dyDescent="0.2">
      <c r="A2168" t="s">
        <v>225</v>
      </c>
      <c r="B2168" t="s">
        <v>140</v>
      </c>
      <c r="C2168" t="s">
        <v>192</v>
      </c>
      <c r="D2168" s="110">
        <v>525618</v>
      </c>
      <c r="E2168" s="110">
        <v>525618</v>
      </c>
      <c r="F2168" s="110">
        <v>525618</v>
      </c>
    </row>
    <row r="2169" spans="1:12" x14ac:dyDescent="0.2">
      <c r="A2169" t="s">
        <v>225</v>
      </c>
      <c r="B2169" t="s">
        <v>140</v>
      </c>
      <c r="C2169" t="s">
        <v>193</v>
      </c>
      <c r="D2169" s="110">
        <v>211654</v>
      </c>
      <c r="E2169" s="110">
        <v>211654</v>
      </c>
    </row>
    <row r="2170" spans="1:12" x14ac:dyDescent="0.2">
      <c r="A2170" t="s">
        <v>225</v>
      </c>
      <c r="B2170" t="s">
        <v>140</v>
      </c>
      <c r="C2170" t="s">
        <v>194</v>
      </c>
      <c r="D2170" s="110">
        <v>263331</v>
      </c>
      <c r="I2170" s="110">
        <v>114</v>
      </c>
    </row>
    <row r="2171" spans="1:12" x14ac:dyDescent="0.2">
      <c r="A2171" t="s">
        <v>225</v>
      </c>
      <c r="B2171" t="s">
        <v>105</v>
      </c>
      <c r="C2171" t="s">
        <v>191</v>
      </c>
      <c r="D2171" s="110">
        <v>174946</v>
      </c>
      <c r="E2171" s="110">
        <v>168349.75</v>
      </c>
      <c r="F2171" s="110">
        <v>165527.75</v>
      </c>
      <c r="G2171" s="110">
        <v>164897.75</v>
      </c>
      <c r="I2171" s="110">
        <v>28544.63</v>
      </c>
      <c r="J2171" s="110">
        <v>40404.14</v>
      </c>
      <c r="K2171" s="110">
        <v>55425.94</v>
      </c>
      <c r="L2171" s="110">
        <v>60832.27</v>
      </c>
    </row>
    <row r="2172" spans="1:12" x14ac:dyDescent="0.2">
      <c r="A2172" t="s">
        <v>225</v>
      </c>
      <c r="B2172" t="s">
        <v>105</v>
      </c>
      <c r="C2172" t="s">
        <v>192</v>
      </c>
      <c r="D2172" s="110">
        <v>178212.25</v>
      </c>
      <c r="E2172" s="110">
        <v>174415.25</v>
      </c>
      <c r="F2172" s="110">
        <v>170474.5</v>
      </c>
      <c r="I2172" s="110">
        <v>35999.47</v>
      </c>
      <c r="J2172" s="110">
        <v>53273.440000000002</v>
      </c>
      <c r="K2172" s="110">
        <v>62285.15</v>
      </c>
    </row>
    <row r="2173" spans="1:12" x14ac:dyDescent="0.2">
      <c r="A2173" t="s">
        <v>225</v>
      </c>
      <c r="B2173" t="s">
        <v>105</v>
      </c>
      <c r="C2173" t="s">
        <v>193</v>
      </c>
      <c r="D2173" s="110">
        <v>189767.5</v>
      </c>
      <c r="E2173" s="110">
        <v>186356.5</v>
      </c>
      <c r="I2173" s="110">
        <v>34403.550000000003</v>
      </c>
      <c r="J2173" s="110">
        <v>54013.33</v>
      </c>
    </row>
    <row r="2174" spans="1:12" x14ac:dyDescent="0.2">
      <c r="A2174" t="s">
        <v>225</v>
      </c>
      <c r="B2174" t="s">
        <v>105</v>
      </c>
      <c r="C2174" t="s">
        <v>194</v>
      </c>
      <c r="D2174" s="110">
        <v>197348.25</v>
      </c>
      <c r="I2174" s="110">
        <v>30775.93</v>
      </c>
    </row>
    <row r="2175" spans="1:12" x14ac:dyDescent="0.2">
      <c r="A2175" t="s">
        <v>225</v>
      </c>
      <c r="B2175" t="s">
        <v>111</v>
      </c>
      <c r="C2175" t="s">
        <v>191</v>
      </c>
      <c r="D2175" s="110">
        <v>3096.5</v>
      </c>
      <c r="E2175" s="110">
        <v>2831.5</v>
      </c>
      <c r="F2175" s="110">
        <v>2781.5</v>
      </c>
      <c r="G2175" s="110">
        <v>1972.5</v>
      </c>
      <c r="I2175" s="110">
        <v>1007.5</v>
      </c>
      <c r="J2175" s="110">
        <v>1072.5</v>
      </c>
      <c r="K2175" s="110">
        <v>1072.5</v>
      </c>
      <c r="L2175" s="110">
        <v>1172.5</v>
      </c>
    </row>
    <row r="2176" spans="1:12" x14ac:dyDescent="0.2">
      <c r="A2176" t="s">
        <v>225</v>
      </c>
      <c r="B2176" t="s">
        <v>111</v>
      </c>
      <c r="C2176" t="s">
        <v>192</v>
      </c>
      <c r="D2176" s="110">
        <v>3706</v>
      </c>
      <c r="E2176" s="110">
        <v>3056</v>
      </c>
      <c r="F2176" s="110">
        <v>3056</v>
      </c>
      <c r="I2176" s="110">
        <v>879</v>
      </c>
      <c r="J2176" s="110">
        <v>944</v>
      </c>
      <c r="K2176" s="110">
        <v>944</v>
      </c>
    </row>
    <row r="2177" spans="1:12" x14ac:dyDescent="0.2">
      <c r="A2177" t="s">
        <v>225</v>
      </c>
      <c r="B2177" t="s">
        <v>111</v>
      </c>
      <c r="C2177" t="s">
        <v>193</v>
      </c>
      <c r="D2177" s="110">
        <v>3084</v>
      </c>
      <c r="E2177" s="110">
        <v>3084</v>
      </c>
      <c r="I2177" s="110">
        <v>319</v>
      </c>
      <c r="J2177" s="110">
        <v>319</v>
      </c>
    </row>
    <row r="2178" spans="1:12" x14ac:dyDescent="0.2">
      <c r="A2178" t="s">
        <v>225</v>
      </c>
      <c r="B2178" t="s">
        <v>111</v>
      </c>
      <c r="C2178" t="s">
        <v>194</v>
      </c>
      <c r="D2178" s="110">
        <v>3739</v>
      </c>
      <c r="I2178" s="110">
        <v>115</v>
      </c>
    </row>
    <row r="2179" spans="1:12" x14ac:dyDescent="0.2">
      <c r="A2179" t="s">
        <v>225</v>
      </c>
      <c r="B2179" t="s">
        <v>109</v>
      </c>
      <c r="C2179" t="s">
        <v>191</v>
      </c>
      <c r="D2179" s="110">
        <v>185026.25</v>
      </c>
      <c r="E2179" s="110">
        <v>184172.25</v>
      </c>
      <c r="F2179" s="110">
        <v>180315</v>
      </c>
      <c r="G2179" s="110">
        <v>176876.5</v>
      </c>
      <c r="I2179" s="110">
        <v>60108.93</v>
      </c>
      <c r="J2179" s="110">
        <v>86972.54</v>
      </c>
      <c r="K2179" s="110">
        <v>102721.1</v>
      </c>
      <c r="L2179" s="110">
        <v>111940.02</v>
      </c>
    </row>
    <row r="2180" spans="1:12" x14ac:dyDescent="0.2">
      <c r="A2180" t="s">
        <v>225</v>
      </c>
      <c r="B2180" t="s">
        <v>109</v>
      </c>
      <c r="C2180" t="s">
        <v>192</v>
      </c>
      <c r="D2180" s="110">
        <v>206870.5</v>
      </c>
      <c r="E2180" s="110">
        <v>205214.5</v>
      </c>
      <c r="F2180" s="110">
        <v>205182.5</v>
      </c>
      <c r="I2180" s="110">
        <v>73207.320000000007</v>
      </c>
      <c r="J2180" s="110">
        <v>100853.53</v>
      </c>
      <c r="K2180" s="110">
        <v>118641.93</v>
      </c>
    </row>
    <row r="2181" spans="1:12" x14ac:dyDescent="0.2">
      <c r="A2181" t="s">
        <v>225</v>
      </c>
      <c r="B2181" t="s">
        <v>109</v>
      </c>
      <c r="C2181" t="s">
        <v>193</v>
      </c>
      <c r="D2181" s="110">
        <v>248110.76</v>
      </c>
      <c r="E2181" s="110">
        <v>247639.01</v>
      </c>
      <c r="I2181" s="110">
        <v>74084.08</v>
      </c>
      <c r="J2181" s="110">
        <v>94285.97</v>
      </c>
    </row>
    <row r="2182" spans="1:12" x14ac:dyDescent="0.2">
      <c r="A2182" t="s">
        <v>225</v>
      </c>
      <c r="B2182" t="s">
        <v>109</v>
      </c>
      <c r="C2182" t="s">
        <v>194</v>
      </c>
      <c r="D2182" s="110">
        <v>224249.5</v>
      </c>
      <c r="I2182" s="110">
        <v>64802.29</v>
      </c>
    </row>
    <row r="2183" spans="1:12" x14ac:dyDescent="0.2">
      <c r="A2183" t="s">
        <v>225</v>
      </c>
      <c r="B2183" t="s">
        <v>106</v>
      </c>
      <c r="C2183" t="s">
        <v>191</v>
      </c>
      <c r="D2183" s="110">
        <v>207477.07</v>
      </c>
      <c r="E2183" s="110">
        <v>207134.37</v>
      </c>
      <c r="F2183" s="110">
        <v>206719.07</v>
      </c>
      <c r="G2183" s="110">
        <v>206669.07</v>
      </c>
      <c r="I2183" s="110">
        <v>200191.46</v>
      </c>
      <c r="J2183" s="110">
        <v>206336.55</v>
      </c>
      <c r="K2183" s="110">
        <v>206336.55</v>
      </c>
      <c r="L2183" s="110">
        <v>206336.55</v>
      </c>
    </row>
    <row r="2184" spans="1:12" x14ac:dyDescent="0.2">
      <c r="A2184" t="s">
        <v>225</v>
      </c>
      <c r="B2184" t="s">
        <v>106</v>
      </c>
      <c r="C2184" t="s">
        <v>192</v>
      </c>
      <c r="D2184" s="110">
        <v>275096.11</v>
      </c>
      <c r="E2184" s="110">
        <v>275096.11</v>
      </c>
      <c r="F2184" s="110">
        <v>274191.11</v>
      </c>
      <c r="I2184" s="110">
        <v>264465.11</v>
      </c>
      <c r="J2184" s="110">
        <v>270750.11</v>
      </c>
      <c r="K2184" s="110">
        <v>269945.11</v>
      </c>
    </row>
    <row r="2185" spans="1:12" x14ac:dyDescent="0.2">
      <c r="A2185" t="s">
        <v>225</v>
      </c>
      <c r="B2185" t="s">
        <v>106</v>
      </c>
      <c r="C2185" t="s">
        <v>193</v>
      </c>
      <c r="D2185" s="110">
        <v>371722.17</v>
      </c>
      <c r="E2185" s="110">
        <v>371044.81</v>
      </c>
      <c r="I2185" s="110">
        <v>361583.17</v>
      </c>
      <c r="J2185" s="110">
        <v>370072.81</v>
      </c>
    </row>
    <row r="2186" spans="1:12" x14ac:dyDescent="0.2">
      <c r="A2186" t="s">
        <v>225</v>
      </c>
      <c r="B2186" t="s">
        <v>106</v>
      </c>
      <c r="C2186" t="s">
        <v>194</v>
      </c>
      <c r="D2186" s="110">
        <v>351045.62</v>
      </c>
      <c r="I2186" s="110">
        <v>335583.12</v>
      </c>
    </row>
    <row r="2187" spans="1:12" x14ac:dyDescent="0.2">
      <c r="A2187" t="s">
        <v>225</v>
      </c>
      <c r="B2187" t="s">
        <v>107</v>
      </c>
      <c r="C2187" t="s">
        <v>191</v>
      </c>
      <c r="D2187" s="110">
        <v>135995.09</v>
      </c>
      <c r="E2187" s="110">
        <v>135995.09</v>
      </c>
      <c r="F2187" s="110">
        <v>135995.09</v>
      </c>
      <c r="G2187" s="110">
        <v>135995.09</v>
      </c>
      <c r="I2187" s="110">
        <v>131990.09</v>
      </c>
      <c r="J2187" s="110">
        <v>135580.09</v>
      </c>
      <c r="K2187" s="110">
        <v>135580.09</v>
      </c>
      <c r="L2187" s="110">
        <v>135580.09</v>
      </c>
    </row>
    <row r="2188" spans="1:12" x14ac:dyDescent="0.2">
      <c r="A2188" t="s">
        <v>225</v>
      </c>
      <c r="B2188" t="s">
        <v>107</v>
      </c>
      <c r="C2188" t="s">
        <v>192</v>
      </c>
      <c r="D2188" s="110">
        <v>144091.54999999999</v>
      </c>
      <c r="E2188" s="110">
        <v>144021.54999999999</v>
      </c>
      <c r="F2188" s="110">
        <v>144021.54999999999</v>
      </c>
      <c r="I2188" s="110">
        <v>139561.54999999999</v>
      </c>
      <c r="J2188" s="110">
        <v>143971.54999999999</v>
      </c>
      <c r="K2188" s="110">
        <v>143971.54999999999</v>
      </c>
    </row>
    <row r="2189" spans="1:12" x14ac:dyDescent="0.2">
      <c r="A2189" t="s">
        <v>225</v>
      </c>
      <c r="B2189" t="s">
        <v>107</v>
      </c>
      <c r="C2189" t="s">
        <v>193</v>
      </c>
      <c r="D2189" s="110">
        <v>187304.63</v>
      </c>
      <c r="E2189" s="110">
        <v>187004.63</v>
      </c>
      <c r="I2189" s="110">
        <v>183689.63</v>
      </c>
      <c r="J2189" s="110">
        <v>186709.63</v>
      </c>
    </row>
    <row r="2190" spans="1:12" x14ac:dyDescent="0.2">
      <c r="A2190" t="s">
        <v>225</v>
      </c>
      <c r="B2190" t="s">
        <v>107</v>
      </c>
      <c r="C2190" t="s">
        <v>194</v>
      </c>
      <c r="D2190" s="110">
        <v>193714.31</v>
      </c>
      <c r="I2190" s="110">
        <v>189489.31</v>
      </c>
    </row>
    <row r="2191" spans="1:12" x14ac:dyDescent="0.2">
      <c r="A2191" t="s">
        <v>225</v>
      </c>
      <c r="B2191" t="s">
        <v>108</v>
      </c>
      <c r="C2191" t="s">
        <v>191</v>
      </c>
      <c r="D2191" s="110">
        <v>66449</v>
      </c>
      <c r="E2191" s="110">
        <v>65517</v>
      </c>
      <c r="F2191" s="110">
        <v>65517</v>
      </c>
      <c r="G2191" s="110">
        <v>64596</v>
      </c>
      <c r="I2191" s="110">
        <v>64687</v>
      </c>
      <c r="J2191" s="110">
        <v>64596</v>
      </c>
      <c r="K2191" s="110">
        <v>64596</v>
      </c>
      <c r="L2191" s="110">
        <v>64365</v>
      </c>
    </row>
    <row r="2192" spans="1:12" x14ac:dyDescent="0.2">
      <c r="A2192" t="s">
        <v>225</v>
      </c>
      <c r="B2192" t="s">
        <v>108</v>
      </c>
      <c r="C2192" t="s">
        <v>192</v>
      </c>
      <c r="D2192" s="110">
        <v>82734.5</v>
      </c>
      <c r="E2192" s="110">
        <v>82734.5</v>
      </c>
      <c r="F2192" s="110">
        <v>82734.5</v>
      </c>
      <c r="I2192" s="110">
        <v>80899.5</v>
      </c>
      <c r="J2192" s="110">
        <v>82389.5</v>
      </c>
      <c r="K2192" s="110">
        <v>82389.5</v>
      </c>
    </row>
    <row r="2193" spans="1:12" x14ac:dyDescent="0.2">
      <c r="A2193" t="s">
        <v>225</v>
      </c>
      <c r="B2193" t="s">
        <v>108</v>
      </c>
      <c r="C2193" t="s">
        <v>193</v>
      </c>
      <c r="D2193" s="110">
        <v>76226</v>
      </c>
      <c r="E2193" s="110">
        <v>76141</v>
      </c>
      <c r="I2193" s="110">
        <v>76141</v>
      </c>
      <c r="J2193" s="110">
        <v>76141</v>
      </c>
    </row>
    <row r="2194" spans="1:12" x14ac:dyDescent="0.2">
      <c r="A2194" t="s">
        <v>225</v>
      </c>
      <c r="B2194" t="s">
        <v>108</v>
      </c>
      <c r="C2194" t="s">
        <v>194</v>
      </c>
      <c r="D2194" s="110">
        <v>77610</v>
      </c>
      <c r="I2194" s="110">
        <v>75379</v>
      </c>
    </row>
    <row r="2195" spans="1:12" x14ac:dyDescent="0.2">
      <c r="A2195" t="s">
        <v>225</v>
      </c>
      <c r="B2195" t="s">
        <v>70</v>
      </c>
      <c r="C2195" t="s">
        <v>191</v>
      </c>
      <c r="D2195" s="110">
        <v>142719.5</v>
      </c>
      <c r="E2195" s="110">
        <v>142011.5</v>
      </c>
      <c r="F2195" s="110">
        <v>141711.5</v>
      </c>
      <c r="G2195" s="110">
        <v>141711.5</v>
      </c>
      <c r="I2195" s="110">
        <v>139391.5</v>
      </c>
      <c r="J2195" s="110">
        <v>140615.5</v>
      </c>
      <c r="K2195" s="110">
        <v>140315.5</v>
      </c>
      <c r="L2195" s="110">
        <v>140315.5</v>
      </c>
    </row>
    <row r="2196" spans="1:12" x14ac:dyDescent="0.2">
      <c r="A2196" t="s">
        <v>225</v>
      </c>
      <c r="B2196" t="s">
        <v>70</v>
      </c>
      <c r="C2196" t="s">
        <v>192</v>
      </c>
      <c r="D2196" s="110">
        <v>137337.95000000001</v>
      </c>
      <c r="E2196" s="110">
        <v>127337.95</v>
      </c>
      <c r="F2196" s="110">
        <v>127187.95</v>
      </c>
      <c r="I2196" s="110">
        <v>124031.95</v>
      </c>
      <c r="J2196" s="110">
        <v>124887.95</v>
      </c>
      <c r="K2196" s="110">
        <v>124887.95</v>
      </c>
    </row>
    <row r="2197" spans="1:12" x14ac:dyDescent="0.2">
      <c r="A2197" t="s">
        <v>225</v>
      </c>
      <c r="B2197" t="s">
        <v>70</v>
      </c>
      <c r="C2197" t="s">
        <v>193</v>
      </c>
      <c r="D2197" s="110">
        <v>142756</v>
      </c>
      <c r="E2197" s="110">
        <v>142348</v>
      </c>
      <c r="I2197" s="110">
        <v>139920</v>
      </c>
      <c r="J2197" s="110">
        <v>140528</v>
      </c>
    </row>
    <row r="2198" spans="1:12" x14ac:dyDescent="0.2">
      <c r="A2198" t="s">
        <v>225</v>
      </c>
      <c r="B2198" t="s">
        <v>70</v>
      </c>
      <c r="C2198" t="s">
        <v>194</v>
      </c>
      <c r="D2198" s="110">
        <v>157378.5</v>
      </c>
      <c r="I2198" s="110">
        <v>155383.5</v>
      </c>
    </row>
    <row r="2199" spans="1:12" x14ac:dyDescent="0.2">
      <c r="A2199" t="s">
        <v>225</v>
      </c>
      <c r="B2199" t="s">
        <v>110</v>
      </c>
      <c r="C2199" t="s">
        <v>191</v>
      </c>
      <c r="D2199" s="110">
        <v>659081.85</v>
      </c>
      <c r="E2199" s="110">
        <v>622572.35</v>
      </c>
      <c r="F2199" s="110">
        <v>608504.35</v>
      </c>
      <c r="G2199" s="110">
        <v>603790.35</v>
      </c>
      <c r="I2199" s="110">
        <v>275088.7</v>
      </c>
      <c r="J2199" s="110">
        <v>503275.35</v>
      </c>
      <c r="K2199" s="110">
        <v>543697.35</v>
      </c>
      <c r="L2199" s="110">
        <v>554486.80000000005</v>
      </c>
    </row>
    <row r="2200" spans="1:12" x14ac:dyDescent="0.2">
      <c r="A2200" t="s">
        <v>225</v>
      </c>
      <c r="B2200" t="s">
        <v>110</v>
      </c>
      <c r="C2200" t="s">
        <v>192</v>
      </c>
      <c r="D2200" s="110">
        <v>594916.35</v>
      </c>
      <c r="E2200" s="110">
        <v>565780.85</v>
      </c>
      <c r="F2200" s="110">
        <v>557518.35</v>
      </c>
      <c r="I2200" s="110">
        <v>271423.84999999998</v>
      </c>
      <c r="J2200" s="110">
        <v>461986.85</v>
      </c>
      <c r="K2200" s="110">
        <v>499486.85</v>
      </c>
    </row>
    <row r="2201" spans="1:12" x14ac:dyDescent="0.2">
      <c r="A2201" t="s">
        <v>225</v>
      </c>
      <c r="B2201" t="s">
        <v>110</v>
      </c>
      <c r="C2201" t="s">
        <v>193</v>
      </c>
      <c r="D2201" s="110">
        <v>791935.45</v>
      </c>
      <c r="E2201" s="110">
        <v>753302.45</v>
      </c>
      <c r="I2201" s="110">
        <v>302527.2</v>
      </c>
      <c r="J2201" s="110">
        <v>599030.94999999995</v>
      </c>
    </row>
    <row r="2202" spans="1:12" x14ac:dyDescent="0.2">
      <c r="A2202" t="s">
        <v>225</v>
      </c>
      <c r="B2202" t="s">
        <v>110</v>
      </c>
      <c r="C2202" t="s">
        <v>194</v>
      </c>
      <c r="D2202" s="110">
        <v>803905.1</v>
      </c>
      <c r="I2202" s="110">
        <v>338237.7</v>
      </c>
    </row>
    <row r="2203" spans="1:12" x14ac:dyDescent="0.2">
      <c r="A2203" t="s">
        <v>226</v>
      </c>
      <c r="B2203" t="s">
        <v>104</v>
      </c>
      <c r="C2203" t="s">
        <v>191</v>
      </c>
      <c r="D2203" s="110">
        <v>737185.15</v>
      </c>
      <c r="E2203" s="110">
        <v>735852.15</v>
      </c>
      <c r="F2203" s="110">
        <v>732973.53</v>
      </c>
      <c r="G2203" s="110">
        <v>730083.31</v>
      </c>
      <c r="I2203" s="110">
        <v>23429.03</v>
      </c>
      <c r="J2203" s="110">
        <v>50952.639999999999</v>
      </c>
      <c r="K2203" s="110">
        <v>75980.12</v>
      </c>
      <c r="L2203" s="110">
        <v>92037.78</v>
      </c>
    </row>
    <row r="2204" spans="1:12" x14ac:dyDescent="0.2">
      <c r="A2204" t="s">
        <v>226</v>
      </c>
      <c r="B2204" t="s">
        <v>104</v>
      </c>
      <c r="C2204" t="s">
        <v>192</v>
      </c>
      <c r="D2204" s="110">
        <v>870629.28</v>
      </c>
      <c r="E2204" s="110">
        <v>814539.83</v>
      </c>
      <c r="F2204" s="110">
        <v>811351.2</v>
      </c>
      <c r="I2204" s="110">
        <v>37162.080000000002</v>
      </c>
      <c r="J2204" s="110">
        <v>70512.77</v>
      </c>
      <c r="K2204" s="110">
        <v>89773.23</v>
      </c>
    </row>
    <row r="2205" spans="1:12" x14ac:dyDescent="0.2">
      <c r="A2205" t="s">
        <v>226</v>
      </c>
      <c r="B2205" t="s">
        <v>104</v>
      </c>
      <c r="C2205" t="s">
        <v>193</v>
      </c>
      <c r="D2205" s="110">
        <v>993812.37</v>
      </c>
      <c r="E2205" s="110">
        <v>990360.13</v>
      </c>
      <c r="I2205" s="110">
        <v>18590.72</v>
      </c>
      <c r="J2205" s="110">
        <v>46917.34</v>
      </c>
    </row>
    <row r="2206" spans="1:12" x14ac:dyDescent="0.2">
      <c r="A2206" t="s">
        <v>226</v>
      </c>
      <c r="B2206" t="s">
        <v>104</v>
      </c>
      <c r="C2206" t="s">
        <v>194</v>
      </c>
      <c r="D2206" s="110">
        <v>701875.62</v>
      </c>
      <c r="I2206" s="110">
        <v>21240.57</v>
      </c>
    </row>
    <row r="2207" spans="1:12" x14ac:dyDescent="0.2">
      <c r="A2207" t="s">
        <v>226</v>
      </c>
      <c r="B2207" t="s">
        <v>140</v>
      </c>
      <c r="C2207" t="s">
        <v>191</v>
      </c>
      <c r="D2207" s="110">
        <v>160679</v>
      </c>
      <c r="E2207" s="110">
        <v>160679</v>
      </c>
      <c r="F2207" s="110">
        <v>160679</v>
      </c>
      <c r="G2207" s="110">
        <v>160679</v>
      </c>
      <c r="I2207" s="110">
        <v>57.59</v>
      </c>
      <c r="J2207" s="110">
        <v>115.85</v>
      </c>
      <c r="K2207" s="110">
        <v>147.02000000000001</v>
      </c>
      <c r="L2207" s="110">
        <v>193.42</v>
      </c>
    </row>
    <row r="2208" spans="1:12" x14ac:dyDescent="0.2">
      <c r="A2208" t="s">
        <v>226</v>
      </c>
      <c r="B2208" t="s">
        <v>140</v>
      </c>
      <c r="C2208" t="s">
        <v>192</v>
      </c>
      <c r="D2208" s="110">
        <v>320416</v>
      </c>
      <c r="E2208" s="110">
        <v>268197.8</v>
      </c>
      <c r="F2208" s="110">
        <v>268147.07</v>
      </c>
      <c r="I2208" s="110">
        <v>0.01</v>
      </c>
      <c r="J2208" s="110">
        <v>0.11</v>
      </c>
      <c r="K2208" s="110">
        <v>0.16</v>
      </c>
    </row>
    <row r="2209" spans="1:12" x14ac:dyDescent="0.2">
      <c r="A2209" t="s">
        <v>226</v>
      </c>
      <c r="B2209" t="s">
        <v>140</v>
      </c>
      <c r="C2209" t="s">
        <v>193</v>
      </c>
      <c r="D2209" s="110">
        <v>294408</v>
      </c>
      <c r="E2209" s="110">
        <v>294408</v>
      </c>
      <c r="I2209" s="110">
        <v>25.26</v>
      </c>
      <c r="J2209" s="110">
        <v>50.33</v>
      </c>
    </row>
    <row r="2210" spans="1:12" x14ac:dyDescent="0.2">
      <c r="A2210" t="s">
        <v>226</v>
      </c>
      <c r="B2210" t="s">
        <v>140</v>
      </c>
      <c r="C2210" t="s">
        <v>194</v>
      </c>
      <c r="D2210" s="110">
        <v>166952.84</v>
      </c>
      <c r="I2210" s="110">
        <v>75.290000000000006</v>
      </c>
    </row>
    <row r="2211" spans="1:12" x14ac:dyDescent="0.2">
      <c r="A2211" t="s">
        <v>226</v>
      </c>
      <c r="B2211" t="s">
        <v>105</v>
      </c>
      <c r="C2211" t="s">
        <v>191</v>
      </c>
      <c r="D2211" s="110">
        <v>278834.21999999997</v>
      </c>
      <c r="E2211" s="110">
        <v>272088.57</v>
      </c>
      <c r="F2211" s="110">
        <v>264675.21999999997</v>
      </c>
      <c r="G2211" s="110">
        <v>262095.68</v>
      </c>
      <c r="I2211" s="110">
        <v>39512.61</v>
      </c>
      <c r="J2211" s="110">
        <v>74953.460000000006</v>
      </c>
      <c r="K2211" s="110">
        <v>96440.58</v>
      </c>
      <c r="L2211" s="110">
        <v>112524.42</v>
      </c>
    </row>
    <row r="2212" spans="1:12" x14ac:dyDescent="0.2">
      <c r="A2212" t="s">
        <v>226</v>
      </c>
      <c r="B2212" t="s">
        <v>105</v>
      </c>
      <c r="C2212" t="s">
        <v>192</v>
      </c>
      <c r="D2212" s="110">
        <v>315965.86</v>
      </c>
      <c r="E2212" s="110">
        <v>314073.84999999998</v>
      </c>
      <c r="F2212" s="110">
        <v>310203.02</v>
      </c>
      <c r="I2212" s="110">
        <v>45095.46</v>
      </c>
      <c r="J2212" s="110">
        <v>77273.919999999998</v>
      </c>
      <c r="K2212" s="110">
        <v>103786.87</v>
      </c>
    </row>
    <row r="2213" spans="1:12" x14ac:dyDescent="0.2">
      <c r="A2213" t="s">
        <v>226</v>
      </c>
      <c r="B2213" t="s">
        <v>105</v>
      </c>
      <c r="C2213" t="s">
        <v>193</v>
      </c>
      <c r="D2213" s="110">
        <v>314203.96999999997</v>
      </c>
      <c r="E2213" s="110">
        <v>312615.37</v>
      </c>
      <c r="I2213" s="110">
        <v>51225.440000000002</v>
      </c>
      <c r="J2213" s="110">
        <v>85827.81</v>
      </c>
    </row>
    <row r="2214" spans="1:12" x14ac:dyDescent="0.2">
      <c r="A2214" t="s">
        <v>226</v>
      </c>
      <c r="B2214" t="s">
        <v>105</v>
      </c>
      <c r="C2214" t="s">
        <v>194</v>
      </c>
      <c r="D2214" s="110">
        <v>341488.03</v>
      </c>
      <c r="I2214" s="110">
        <v>46804.1</v>
      </c>
    </row>
    <row r="2215" spans="1:12" x14ac:dyDescent="0.2">
      <c r="A2215" t="s">
        <v>226</v>
      </c>
      <c r="B2215" t="s">
        <v>111</v>
      </c>
      <c r="C2215" t="s">
        <v>191</v>
      </c>
      <c r="D2215" s="110">
        <v>67639</v>
      </c>
      <c r="E2215" s="110">
        <v>67869.73</v>
      </c>
      <c r="F2215" s="110">
        <v>67694.73</v>
      </c>
      <c r="G2215" s="110">
        <v>67644.73</v>
      </c>
      <c r="I2215" s="110">
        <v>2350.2800000000002</v>
      </c>
      <c r="J2215" s="110">
        <v>6968.57</v>
      </c>
      <c r="K2215" s="110">
        <v>9938.81</v>
      </c>
      <c r="L2215" s="110">
        <v>11180.65</v>
      </c>
    </row>
    <row r="2216" spans="1:12" x14ac:dyDescent="0.2">
      <c r="A2216" t="s">
        <v>226</v>
      </c>
      <c r="B2216" t="s">
        <v>111</v>
      </c>
      <c r="C2216" t="s">
        <v>192</v>
      </c>
      <c r="D2216" s="110">
        <v>73221.59</v>
      </c>
      <c r="E2216" s="110">
        <v>73168.59</v>
      </c>
      <c r="F2216" s="110">
        <v>73168.59</v>
      </c>
      <c r="I2216" s="110">
        <v>4627.49</v>
      </c>
      <c r="J2216" s="110">
        <v>9410.8700000000008</v>
      </c>
      <c r="K2216" s="110">
        <v>10923.95</v>
      </c>
    </row>
    <row r="2217" spans="1:12" x14ac:dyDescent="0.2">
      <c r="A2217" t="s">
        <v>226</v>
      </c>
      <c r="B2217" t="s">
        <v>111</v>
      </c>
      <c r="C2217" t="s">
        <v>193</v>
      </c>
      <c r="D2217" s="110">
        <v>79989</v>
      </c>
      <c r="E2217" s="110">
        <v>79686</v>
      </c>
      <c r="I2217" s="110">
        <v>5567.1</v>
      </c>
      <c r="J2217" s="110">
        <v>10414.92</v>
      </c>
    </row>
    <row r="2218" spans="1:12" x14ac:dyDescent="0.2">
      <c r="A2218" t="s">
        <v>226</v>
      </c>
      <c r="B2218" t="s">
        <v>111</v>
      </c>
      <c r="C2218" t="s">
        <v>194</v>
      </c>
      <c r="D2218" s="110">
        <v>64090.91</v>
      </c>
      <c r="I2218" s="110">
        <v>3116.66</v>
      </c>
    </row>
    <row r="2219" spans="1:12" x14ac:dyDescent="0.2">
      <c r="A2219" t="s">
        <v>226</v>
      </c>
      <c r="B2219" t="s">
        <v>109</v>
      </c>
      <c r="C2219" t="s">
        <v>191</v>
      </c>
      <c r="D2219" s="110">
        <v>287650.25</v>
      </c>
      <c r="E2219" s="110">
        <v>283381.75</v>
      </c>
      <c r="F2219" s="110">
        <v>278814.09999999998</v>
      </c>
      <c r="G2219" s="110">
        <v>276727.3</v>
      </c>
      <c r="I2219" s="110">
        <v>76760.47</v>
      </c>
      <c r="J2219" s="110">
        <v>118006.07</v>
      </c>
      <c r="K2219" s="110">
        <v>144955.23000000001</v>
      </c>
      <c r="L2219" s="110">
        <v>162363.79</v>
      </c>
    </row>
    <row r="2220" spans="1:12" x14ac:dyDescent="0.2">
      <c r="A2220" t="s">
        <v>226</v>
      </c>
      <c r="B2220" t="s">
        <v>109</v>
      </c>
      <c r="C2220" t="s">
        <v>192</v>
      </c>
      <c r="D2220" s="110">
        <v>367188.57</v>
      </c>
      <c r="E2220" s="110">
        <v>370909.81</v>
      </c>
      <c r="F2220" s="110">
        <v>368065.39</v>
      </c>
      <c r="I2220" s="110">
        <v>97879.81</v>
      </c>
      <c r="J2220" s="110">
        <v>139501.21</v>
      </c>
      <c r="K2220" s="110">
        <v>175138.32</v>
      </c>
    </row>
    <row r="2221" spans="1:12" x14ac:dyDescent="0.2">
      <c r="A2221" t="s">
        <v>226</v>
      </c>
      <c r="B2221" t="s">
        <v>109</v>
      </c>
      <c r="C2221" t="s">
        <v>193</v>
      </c>
      <c r="D2221" s="110">
        <v>325594.12</v>
      </c>
      <c r="E2221" s="110">
        <v>322932.12</v>
      </c>
      <c r="I2221" s="110">
        <v>83445.440000000002</v>
      </c>
      <c r="J2221" s="110">
        <v>126305.66</v>
      </c>
    </row>
    <row r="2222" spans="1:12" x14ac:dyDescent="0.2">
      <c r="A2222" t="s">
        <v>226</v>
      </c>
      <c r="B2222" t="s">
        <v>109</v>
      </c>
      <c r="C2222" t="s">
        <v>194</v>
      </c>
      <c r="D2222" s="110">
        <v>324780.57</v>
      </c>
      <c r="I2222" s="110">
        <v>91247.679999999993</v>
      </c>
    </row>
    <row r="2223" spans="1:12" x14ac:dyDescent="0.2">
      <c r="A2223" t="s">
        <v>226</v>
      </c>
      <c r="B2223" t="s">
        <v>106</v>
      </c>
      <c r="C2223" t="s">
        <v>191</v>
      </c>
      <c r="D2223" s="110">
        <v>304205.58</v>
      </c>
      <c r="E2223" s="110">
        <v>300000.58</v>
      </c>
      <c r="F2223" s="110">
        <v>299095.58</v>
      </c>
      <c r="G2223" s="110">
        <v>298565.58</v>
      </c>
      <c r="I2223" s="110">
        <v>290012.86</v>
      </c>
      <c r="J2223" s="110">
        <v>299546.11</v>
      </c>
      <c r="K2223" s="110">
        <v>298641.11</v>
      </c>
      <c r="L2223" s="110">
        <v>267691.11</v>
      </c>
    </row>
    <row r="2224" spans="1:12" x14ac:dyDescent="0.2">
      <c r="A2224" t="s">
        <v>226</v>
      </c>
      <c r="B2224" t="s">
        <v>106</v>
      </c>
      <c r="C2224" t="s">
        <v>192</v>
      </c>
      <c r="D2224" s="110">
        <v>507166.4</v>
      </c>
      <c r="E2224" s="110">
        <v>504237.4</v>
      </c>
      <c r="F2224" s="110">
        <v>503727.4</v>
      </c>
      <c r="I2224" s="110">
        <v>499236.44</v>
      </c>
      <c r="J2224" s="110">
        <v>501843.22</v>
      </c>
      <c r="K2224" s="110">
        <v>501966.92</v>
      </c>
    </row>
    <row r="2225" spans="1:12" x14ac:dyDescent="0.2">
      <c r="A2225" t="s">
        <v>226</v>
      </c>
      <c r="B2225" t="s">
        <v>106</v>
      </c>
      <c r="C2225" t="s">
        <v>193</v>
      </c>
      <c r="D2225" s="110">
        <v>557572.67000000004</v>
      </c>
      <c r="E2225" s="110">
        <v>555458.67000000004</v>
      </c>
      <c r="I2225" s="110">
        <v>545097.84</v>
      </c>
      <c r="J2225" s="110">
        <v>554993.67000000004</v>
      </c>
    </row>
    <row r="2226" spans="1:12" x14ac:dyDescent="0.2">
      <c r="A2226" t="s">
        <v>226</v>
      </c>
      <c r="B2226" t="s">
        <v>106</v>
      </c>
      <c r="C2226" t="s">
        <v>194</v>
      </c>
      <c r="D2226" s="110">
        <v>482604.17</v>
      </c>
      <c r="I2226" s="110">
        <v>470850.46</v>
      </c>
    </row>
    <row r="2227" spans="1:12" x14ac:dyDescent="0.2">
      <c r="A2227" t="s">
        <v>226</v>
      </c>
      <c r="B2227" t="s">
        <v>107</v>
      </c>
      <c r="C2227" t="s">
        <v>191</v>
      </c>
      <c r="D2227" s="110">
        <v>346183.8</v>
      </c>
      <c r="E2227" s="110">
        <v>345707.8</v>
      </c>
      <c r="F2227" s="110">
        <v>345707.8</v>
      </c>
      <c r="G2227" s="110">
        <v>345707.8</v>
      </c>
      <c r="I2227" s="110">
        <v>340283.8</v>
      </c>
      <c r="J2227" s="110">
        <v>345707.8</v>
      </c>
      <c r="K2227" s="110">
        <v>345707.8</v>
      </c>
      <c r="L2227" s="110">
        <v>345707.8</v>
      </c>
    </row>
    <row r="2228" spans="1:12" x14ac:dyDescent="0.2">
      <c r="A2228" t="s">
        <v>226</v>
      </c>
      <c r="B2228" t="s">
        <v>107</v>
      </c>
      <c r="C2228" t="s">
        <v>192</v>
      </c>
      <c r="D2228" s="110">
        <v>369850.27</v>
      </c>
      <c r="E2228" s="110">
        <v>369850.27</v>
      </c>
      <c r="F2228" s="110">
        <v>369850.27</v>
      </c>
      <c r="I2228" s="110">
        <v>369865.27</v>
      </c>
      <c r="J2228" s="110">
        <v>370035.27</v>
      </c>
      <c r="K2228" s="110">
        <v>370035.27</v>
      </c>
    </row>
    <row r="2229" spans="1:12" x14ac:dyDescent="0.2">
      <c r="A2229" t="s">
        <v>226</v>
      </c>
      <c r="B2229" t="s">
        <v>107</v>
      </c>
      <c r="C2229" t="s">
        <v>193</v>
      </c>
      <c r="D2229" s="110">
        <v>405051.68</v>
      </c>
      <c r="E2229" s="110">
        <v>404961.68</v>
      </c>
      <c r="I2229" s="110">
        <v>402531.68</v>
      </c>
      <c r="J2229" s="110">
        <v>404961.68</v>
      </c>
    </row>
    <row r="2230" spans="1:12" x14ac:dyDescent="0.2">
      <c r="A2230" t="s">
        <v>226</v>
      </c>
      <c r="B2230" t="s">
        <v>107</v>
      </c>
      <c r="C2230" t="s">
        <v>194</v>
      </c>
      <c r="D2230" s="110">
        <v>451542.49</v>
      </c>
      <c r="I2230" s="110">
        <v>444745.49</v>
      </c>
    </row>
    <row r="2231" spans="1:12" x14ac:dyDescent="0.2">
      <c r="A2231" t="s">
        <v>226</v>
      </c>
      <c r="B2231" t="s">
        <v>108</v>
      </c>
      <c r="C2231" t="s">
        <v>191</v>
      </c>
      <c r="D2231" s="110">
        <v>104549.75</v>
      </c>
      <c r="E2231" s="110">
        <v>104549.75</v>
      </c>
      <c r="F2231" s="110">
        <v>104083.75</v>
      </c>
      <c r="G2231" s="110">
        <v>103683.75</v>
      </c>
      <c r="I2231" s="110">
        <v>103091.75</v>
      </c>
      <c r="J2231" s="110">
        <v>103918.75</v>
      </c>
      <c r="K2231" s="110">
        <v>103452.75</v>
      </c>
      <c r="L2231" s="110">
        <v>103452.75</v>
      </c>
    </row>
    <row r="2232" spans="1:12" x14ac:dyDescent="0.2">
      <c r="A2232" t="s">
        <v>226</v>
      </c>
      <c r="B2232" t="s">
        <v>108</v>
      </c>
      <c r="C2232" t="s">
        <v>192</v>
      </c>
      <c r="D2232" s="110">
        <v>129546</v>
      </c>
      <c r="E2232" s="110">
        <v>128225</v>
      </c>
      <c r="F2232" s="110">
        <v>127330</v>
      </c>
      <c r="I2232" s="110">
        <v>123512</v>
      </c>
      <c r="J2232" s="110">
        <v>127994</v>
      </c>
      <c r="K2232" s="110">
        <v>127099</v>
      </c>
    </row>
    <row r="2233" spans="1:12" x14ac:dyDescent="0.2">
      <c r="A2233" t="s">
        <v>226</v>
      </c>
      <c r="B2233" t="s">
        <v>108</v>
      </c>
      <c r="C2233" t="s">
        <v>193</v>
      </c>
      <c r="D2233" s="110">
        <v>120153.09</v>
      </c>
      <c r="E2233" s="110">
        <v>119731.09</v>
      </c>
      <c r="I2233" s="110">
        <v>118107.04</v>
      </c>
      <c r="J2233" s="110">
        <v>119712.04</v>
      </c>
    </row>
    <row r="2234" spans="1:12" x14ac:dyDescent="0.2">
      <c r="A2234" t="s">
        <v>226</v>
      </c>
      <c r="B2234" t="s">
        <v>108</v>
      </c>
      <c r="C2234" t="s">
        <v>194</v>
      </c>
      <c r="D2234" s="110">
        <v>108407</v>
      </c>
      <c r="I2234" s="110">
        <v>105379</v>
      </c>
    </row>
    <row r="2235" spans="1:12" x14ac:dyDescent="0.2">
      <c r="A2235" t="s">
        <v>226</v>
      </c>
      <c r="B2235" t="s">
        <v>70</v>
      </c>
      <c r="C2235" t="s">
        <v>191</v>
      </c>
      <c r="D2235" s="110">
        <v>129296.14</v>
      </c>
      <c r="E2235" s="110">
        <v>125968.64</v>
      </c>
      <c r="F2235" s="110">
        <v>125968.64</v>
      </c>
      <c r="G2235" s="110">
        <v>125968.64</v>
      </c>
      <c r="I2235" s="110">
        <v>123759.26</v>
      </c>
      <c r="J2235" s="110">
        <v>124745.81</v>
      </c>
      <c r="K2235" s="110">
        <v>124745.81</v>
      </c>
      <c r="L2235" s="110">
        <v>124745.81</v>
      </c>
    </row>
    <row r="2236" spans="1:12" x14ac:dyDescent="0.2">
      <c r="A2236" t="s">
        <v>226</v>
      </c>
      <c r="B2236" t="s">
        <v>70</v>
      </c>
      <c r="C2236" t="s">
        <v>192</v>
      </c>
      <c r="D2236" s="110">
        <v>137657.98000000001</v>
      </c>
      <c r="E2236" s="110">
        <v>136089.92000000001</v>
      </c>
      <c r="F2236" s="110">
        <v>136089.92000000001</v>
      </c>
      <c r="I2236" s="110">
        <v>136494.48000000001</v>
      </c>
      <c r="J2236" s="110">
        <v>135596.42000000001</v>
      </c>
      <c r="K2236" s="110">
        <v>135596.42000000001</v>
      </c>
    </row>
    <row r="2237" spans="1:12" x14ac:dyDescent="0.2">
      <c r="A2237" t="s">
        <v>226</v>
      </c>
      <c r="B2237" t="s">
        <v>70</v>
      </c>
      <c r="C2237" t="s">
        <v>193</v>
      </c>
      <c r="D2237" s="110">
        <v>149837.45000000001</v>
      </c>
      <c r="E2237" s="110">
        <v>148986.45000000001</v>
      </c>
      <c r="I2237" s="110">
        <v>146241.03</v>
      </c>
      <c r="J2237" s="110">
        <v>147021.03</v>
      </c>
    </row>
    <row r="2238" spans="1:12" x14ac:dyDescent="0.2">
      <c r="A2238" t="s">
        <v>226</v>
      </c>
      <c r="B2238" t="s">
        <v>70</v>
      </c>
      <c r="C2238" t="s">
        <v>194</v>
      </c>
      <c r="D2238" s="110">
        <v>135314.04999999999</v>
      </c>
      <c r="I2238" s="110">
        <v>130018.36</v>
      </c>
    </row>
    <row r="2239" spans="1:12" x14ac:dyDescent="0.2">
      <c r="A2239" t="s">
        <v>226</v>
      </c>
      <c r="B2239" t="s">
        <v>110</v>
      </c>
      <c r="C2239" t="s">
        <v>191</v>
      </c>
      <c r="D2239" s="110">
        <v>1117649.3</v>
      </c>
      <c r="E2239" s="110">
        <v>1033979.05</v>
      </c>
      <c r="F2239" s="110">
        <v>1029197.8</v>
      </c>
      <c r="G2239" s="110">
        <v>1027129.55</v>
      </c>
      <c r="I2239" s="110">
        <v>540480.65</v>
      </c>
      <c r="J2239" s="110">
        <v>891014.85</v>
      </c>
      <c r="K2239" s="110">
        <v>921693.63</v>
      </c>
      <c r="L2239" s="110">
        <v>932765.98</v>
      </c>
    </row>
    <row r="2240" spans="1:12" x14ac:dyDescent="0.2">
      <c r="A2240" t="s">
        <v>226</v>
      </c>
      <c r="B2240" t="s">
        <v>110</v>
      </c>
      <c r="C2240" t="s">
        <v>192</v>
      </c>
      <c r="D2240" s="110">
        <v>1243012.3999999999</v>
      </c>
      <c r="E2240" s="110">
        <v>1143965.95</v>
      </c>
      <c r="F2240" s="110">
        <v>1137809.58</v>
      </c>
      <c r="I2240" s="110">
        <v>653831.75</v>
      </c>
      <c r="J2240" s="110">
        <v>988976.42</v>
      </c>
      <c r="K2240" s="110">
        <v>1016566.19</v>
      </c>
    </row>
    <row r="2241" spans="1:12" x14ac:dyDescent="0.2">
      <c r="A2241" t="s">
        <v>226</v>
      </c>
      <c r="B2241" t="s">
        <v>110</v>
      </c>
      <c r="C2241" t="s">
        <v>193</v>
      </c>
      <c r="D2241" s="110">
        <v>1368211.6</v>
      </c>
      <c r="E2241" s="110">
        <v>1283940.33</v>
      </c>
      <c r="I2241" s="110">
        <v>732666.59</v>
      </c>
      <c r="J2241" s="110">
        <v>1097979.96</v>
      </c>
    </row>
    <row r="2242" spans="1:12" x14ac:dyDescent="0.2">
      <c r="A2242" t="s">
        <v>226</v>
      </c>
      <c r="B2242" t="s">
        <v>110</v>
      </c>
      <c r="C2242" t="s">
        <v>194</v>
      </c>
      <c r="D2242" s="110">
        <v>1567489.25</v>
      </c>
      <c r="I2242" s="110">
        <v>842650.67</v>
      </c>
    </row>
    <row r="2243" spans="1:12" x14ac:dyDescent="0.2">
      <c r="A2243" t="s">
        <v>55</v>
      </c>
      <c r="B2243" t="s">
        <v>104</v>
      </c>
      <c r="C2243" t="s">
        <v>191</v>
      </c>
      <c r="D2243" s="110">
        <v>588009.39</v>
      </c>
      <c r="E2243" s="110">
        <v>587926.89</v>
      </c>
      <c r="F2243" s="110">
        <v>587251.89</v>
      </c>
      <c r="G2243" s="110">
        <v>586876.89</v>
      </c>
      <c r="I2243" s="110">
        <v>21945.16</v>
      </c>
      <c r="J2243" s="110">
        <v>41594.620000000003</v>
      </c>
      <c r="K2243" s="110">
        <v>58282.73</v>
      </c>
      <c r="L2243" s="110">
        <v>69968.69</v>
      </c>
    </row>
    <row r="2244" spans="1:12" x14ac:dyDescent="0.2">
      <c r="A2244" t="s">
        <v>55</v>
      </c>
      <c r="B2244" t="s">
        <v>104</v>
      </c>
      <c r="C2244" t="s">
        <v>192</v>
      </c>
      <c r="D2244" s="110">
        <v>431204</v>
      </c>
      <c r="E2244" s="110">
        <v>430549</v>
      </c>
      <c r="F2244" s="110">
        <v>429889</v>
      </c>
      <c r="I2244" s="110">
        <v>26167.34</v>
      </c>
      <c r="J2244" s="110">
        <v>43823.55</v>
      </c>
      <c r="K2244" s="110">
        <v>56910.2</v>
      </c>
    </row>
    <row r="2245" spans="1:12" x14ac:dyDescent="0.2">
      <c r="A2245" t="s">
        <v>55</v>
      </c>
      <c r="B2245" t="s">
        <v>104</v>
      </c>
      <c r="C2245" t="s">
        <v>193</v>
      </c>
      <c r="D2245" s="110">
        <v>544553.19999999995</v>
      </c>
      <c r="E2245" s="110">
        <v>543361.19999999995</v>
      </c>
      <c r="I2245" s="110">
        <v>20033.02</v>
      </c>
      <c r="J2245" s="110">
        <v>35736.81</v>
      </c>
    </row>
    <row r="2246" spans="1:12" x14ac:dyDescent="0.2">
      <c r="A2246" t="s">
        <v>55</v>
      </c>
      <c r="B2246" t="s">
        <v>104</v>
      </c>
      <c r="C2246" t="s">
        <v>194</v>
      </c>
      <c r="D2246" s="110">
        <v>625933.01</v>
      </c>
      <c r="I2246" s="110">
        <v>25693.599999999999</v>
      </c>
    </row>
    <row r="2247" spans="1:12" x14ac:dyDescent="0.2">
      <c r="A2247" t="s">
        <v>55</v>
      </c>
      <c r="B2247" t="s">
        <v>140</v>
      </c>
      <c r="C2247" t="s">
        <v>191</v>
      </c>
      <c r="D2247" s="110">
        <v>102127</v>
      </c>
      <c r="E2247" s="110">
        <v>102127</v>
      </c>
      <c r="F2247" s="110">
        <v>102177</v>
      </c>
      <c r="G2247" s="110">
        <v>102177</v>
      </c>
      <c r="I2247" s="110">
        <v>39</v>
      </c>
      <c r="J2247" s="110">
        <v>39</v>
      </c>
      <c r="K2247" s="110">
        <v>39</v>
      </c>
      <c r="L2247" s="110">
        <v>39</v>
      </c>
    </row>
    <row r="2248" spans="1:12" x14ac:dyDescent="0.2">
      <c r="A2248" t="s">
        <v>55</v>
      </c>
      <c r="B2248" t="s">
        <v>140</v>
      </c>
      <c r="C2248" t="s">
        <v>192</v>
      </c>
      <c r="D2248" s="110">
        <v>52971</v>
      </c>
      <c r="E2248" s="110">
        <v>53021</v>
      </c>
      <c r="F2248" s="110">
        <v>53021</v>
      </c>
      <c r="I2248" s="110">
        <v>25</v>
      </c>
      <c r="J2248" s="110">
        <v>25</v>
      </c>
      <c r="K2248" s="110">
        <v>32</v>
      </c>
    </row>
    <row r="2249" spans="1:12" x14ac:dyDescent="0.2">
      <c r="A2249" t="s">
        <v>55</v>
      </c>
      <c r="B2249" t="s">
        <v>140</v>
      </c>
      <c r="C2249" t="s">
        <v>193</v>
      </c>
      <c r="D2249" s="110">
        <v>161155.5</v>
      </c>
      <c r="E2249" s="110">
        <v>161205.5</v>
      </c>
      <c r="I2249" s="110">
        <v>11.5</v>
      </c>
      <c r="J2249" s="110">
        <v>11.5</v>
      </c>
    </row>
    <row r="2250" spans="1:12" x14ac:dyDescent="0.2">
      <c r="A2250" t="s">
        <v>55</v>
      </c>
      <c r="B2250" t="s">
        <v>140</v>
      </c>
      <c r="C2250" t="s">
        <v>194</v>
      </c>
      <c r="D2250" s="110">
        <v>106894</v>
      </c>
      <c r="I2250" s="110">
        <v>49.05</v>
      </c>
    </row>
    <row r="2251" spans="1:12" x14ac:dyDescent="0.2">
      <c r="A2251" t="s">
        <v>55</v>
      </c>
      <c r="B2251" t="s">
        <v>105</v>
      </c>
      <c r="C2251" t="s">
        <v>191</v>
      </c>
      <c r="D2251" s="110">
        <v>145654.49</v>
      </c>
      <c r="E2251" s="110">
        <v>143709.99</v>
      </c>
      <c r="F2251" s="110">
        <v>143359.99</v>
      </c>
      <c r="G2251" s="110">
        <v>143249.99</v>
      </c>
      <c r="I2251" s="110">
        <v>30455.9</v>
      </c>
      <c r="J2251" s="110">
        <v>43091.66</v>
      </c>
      <c r="K2251" s="110">
        <v>48216.76</v>
      </c>
      <c r="L2251" s="110">
        <v>54704.85</v>
      </c>
    </row>
    <row r="2252" spans="1:12" x14ac:dyDescent="0.2">
      <c r="A2252" t="s">
        <v>55</v>
      </c>
      <c r="B2252" t="s">
        <v>105</v>
      </c>
      <c r="C2252" t="s">
        <v>192</v>
      </c>
      <c r="D2252" s="110">
        <v>147766.65</v>
      </c>
      <c r="E2252" s="110">
        <v>145242.65</v>
      </c>
      <c r="F2252" s="110">
        <v>144327.65</v>
      </c>
      <c r="I2252" s="110">
        <v>34964.83</v>
      </c>
      <c r="J2252" s="110">
        <v>49370.45</v>
      </c>
      <c r="K2252" s="110">
        <v>55876.71</v>
      </c>
    </row>
    <row r="2253" spans="1:12" x14ac:dyDescent="0.2">
      <c r="A2253" t="s">
        <v>55</v>
      </c>
      <c r="B2253" t="s">
        <v>105</v>
      </c>
      <c r="C2253" t="s">
        <v>193</v>
      </c>
      <c r="D2253" s="110">
        <v>152443.35</v>
      </c>
      <c r="E2253" s="110">
        <v>150267.85</v>
      </c>
      <c r="I2253" s="110">
        <v>33473.78</v>
      </c>
      <c r="J2253" s="110">
        <v>44844.65</v>
      </c>
    </row>
    <row r="2254" spans="1:12" x14ac:dyDescent="0.2">
      <c r="A2254" t="s">
        <v>55</v>
      </c>
      <c r="B2254" t="s">
        <v>105</v>
      </c>
      <c r="C2254" t="s">
        <v>194</v>
      </c>
      <c r="D2254" s="110">
        <v>121067.06</v>
      </c>
      <c r="I2254" s="110">
        <v>30089.51</v>
      </c>
    </row>
    <row r="2255" spans="1:12" x14ac:dyDescent="0.2">
      <c r="A2255" t="s">
        <v>55</v>
      </c>
      <c r="B2255" t="s">
        <v>111</v>
      </c>
      <c r="C2255" t="s">
        <v>191</v>
      </c>
      <c r="D2255" s="110">
        <v>12910.5</v>
      </c>
      <c r="E2255" s="110">
        <v>12978.5</v>
      </c>
      <c r="F2255" s="110">
        <v>11278.5</v>
      </c>
      <c r="G2255" s="110">
        <v>9664.5</v>
      </c>
      <c r="I2255" s="110">
        <v>571.5</v>
      </c>
      <c r="J2255" s="110">
        <v>1342.5</v>
      </c>
      <c r="K2255" s="110">
        <v>1830</v>
      </c>
      <c r="L2255" s="110">
        <v>2538.5</v>
      </c>
    </row>
    <row r="2256" spans="1:12" x14ac:dyDescent="0.2">
      <c r="A2256" t="s">
        <v>55</v>
      </c>
      <c r="B2256" t="s">
        <v>111</v>
      </c>
      <c r="C2256" t="s">
        <v>192</v>
      </c>
      <c r="D2256" s="110">
        <v>13255.5</v>
      </c>
      <c r="E2256" s="110">
        <v>11665.5</v>
      </c>
      <c r="F2256" s="110">
        <v>10202.5</v>
      </c>
      <c r="I2256" s="110">
        <v>321</v>
      </c>
      <c r="J2256" s="110">
        <v>518.5</v>
      </c>
      <c r="K2256" s="110">
        <v>1405.5</v>
      </c>
    </row>
    <row r="2257" spans="1:12" x14ac:dyDescent="0.2">
      <c r="A2257" t="s">
        <v>55</v>
      </c>
      <c r="B2257" t="s">
        <v>111</v>
      </c>
      <c r="C2257" t="s">
        <v>193</v>
      </c>
      <c r="D2257" s="110">
        <v>15547.5</v>
      </c>
      <c r="E2257" s="110">
        <v>13062.5</v>
      </c>
      <c r="I2257" s="110">
        <v>588</v>
      </c>
      <c r="J2257" s="110">
        <v>1682</v>
      </c>
    </row>
    <row r="2258" spans="1:12" x14ac:dyDescent="0.2">
      <c r="A2258" t="s">
        <v>55</v>
      </c>
      <c r="B2258" t="s">
        <v>111</v>
      </c>
      <c r="C2258" t="s">
        <v>194</v>
      </c>
      <c r="D2258" s="110">
        <v>10316.5</v>
      </c>
      <c r="I2258" s="110">
        <v>260</v>
      </c>
    </row>
    <row r="2259" spans="1:12" x14ac:dyDescent="0.2">
      <c r="A2259" s="56" t="s">
        <v>55</v>
      </c>
      <c r="B2259" t="s">
        <v>109</v>
      </c>
      <c r="C2259" t="s">
        <v>191</v>
      </c>
      <c r="D2259" s="110">
        <v>222338.4</v>
      </c>
      <c r="E2259" s="110">
        <v>221041.66</v>
      </c>
      <c r="F2259" s="110">
        <v>220460.78</v>
      </c>
      <c r="G2259" s="110">
        <v>219613.41</v>
      </c>
      <c r="I2259" s="110">
        <v>87759.83</v>
      </c>
      <c r="J2259" s="110">
        <v>117444.87</v>
      </c>
      <c r="K2259" s="110">
        <v>130526.14</v>
      </c>
      <c r="L2259" s="110">
        <v>139121.26999999999</v>
      </c>
    </row>
    <row r="2260" spans="1:12" x14ac:dyDescent="0.2">
      <c r="A2260" s="56" t="s">
        <v>55</v>
      </c>
      <c r="B2260" t="s">
        <v>109</v>
      </c>
      <c r="C2260" t="s">
        <v>192</v>
      </c>
      <c r="D2260" s="110">
        <v>242040.1</v>
      </c>
      <c r="E2260" s="110">
        <v>241722.78</v>
      </c>
      <c r="F2260" s="110">
        <v>241726.41</v>
      </c>
      <c r="I2260" s="110">
        <v>118509.08</v>
      </c>
      <c r="J2260" s="110">
        <v>139393.25</v>
      </c>
      <c r="K2260" s="110">
        <v>152977.92000000001</v>
      </c>
    </row>
    <row r="2261" spans="1:12" x14ac:dyDescent="0.2">
      <c r="A2261" s="56" t="s">
        <v>55</v>
      </c>
      <c r="B2261" t="s">
        <v>109</v>
      </c>
      <c r="C2261" t="s">
        <v>193</v>
      </c>
      <c r="D2261" s="110">
        <v>224983.17</v>
      </c>
      <c r="E2261" s="110">
        <v>222538.36</v>
      </c>
      <c r="I2261" s="110">
        <v>95086.3</v>
      </c>
      <c r="J2261" s="110">
        <v>121101.75</v>
      </c>
    </row>
    <row r="2262" spans="1:12" x14ac:dyDescent="0.2">
      <c r="A2262" s="56" t="s">
        <v>55</v>
      </c>
      <c r="B2262" t="s">
        <v>109</v>
      </c>
      <c r="C2262" t="s">
        <v>194</v>
      </c>
      <c r="D2262" s="110">
        <v>202263.28</v>
      </c>
      <c r="I2262" s="110">
        <v>91970.92</v>
      </c>
    </row>
    <row r="2263" spans="1:12" x14ac:dyDescent="0.2">
      <c r="A2263" s="56" t="s">
        <v>55</v>
      </c>
      <c r="B2263" t="s">
        <v>106</v>
      </c>
      <c r="C2263" t="s">
        <v>191</v>
      </c>
      <c r="D2263" s="110">
        <v>193582.75</v>
      </c>
      <c r="E2263" s="110">
        <v>193182.75</v>
      </c>
      <c r="F2263" s="110">
        <v>193182.75</v>
      </c>
      <c r="G2263" s="110">
        <v>193182.75</v>
      </c>
      <c r="I2263" s="110">
        <v>187672.35</v>
      </c>
      <c r="J2263" s="110">
        <v>190276.35</v>
      </c>
      <c r="K2263" s="110">
        <v>190370.36</v>
      </c>
      <c r="L2263" s="110">
        <v>190400.36</v>
      </c>
    </row>
    <row r="2264" spans="1:12" x14ac:dyDescent="0.2">
      <c r="A2264" s="56" t="s">
        <v>55</v>
      </c>
      <c r="B2264" t="s">
        <v>106</v>
      </c>
      <c r="C2264" t="s">
        <v>192</v>
      </c>
      <c r="D2264" s="110">
        <v>229670.58</v>
      </c>
      <c r="E2264" s="110">
        <v>229670.58</v>
      </c>
      <c r="F2264" s="110">
        <v>229670.58</v>
      </c>
      <c r="I2264" s="110">
        <v>223695.58</v>
      </c>
      <c r="J2264" s="110">
        <v>227670.58</v>
      </c>
      <c r="K2264" s="110">
        <v>227670.58</v>
      </c>
    </row>
    <row r="2265" spans="1:12" x14ac:dyDescent="0.2">
      <c r="A2265" s="56" t="s">
        <v>55</v>
      </c>
      <c r="B2265" t="s">
        <v>106</v>
      </c>
      <c r="C2265" t="s">
        <v>193</v>
      </c>
      <c r="D2265" s="110">
        <v>239443.33</v>
      </c>
      <c r="E2265" s="110">
        <v>239443.33</v>
      </c>
      <c r="I2265" s="110">
        <v>237559.33</v>
      </c>
      <c r="J2265" s="110">
        <v>238539.33</v>
      </c>
    </row>
    <row r="2266" spans="1:12" x14ac:dyDescent="0.2">
      <c r="A2266" s="56" t="s">
        <v>55</v>
      </c>
      <c r="B2266" t="s">
        <v>106</v>
      </c>
      <c r="C2266" t="s">
        <v>194</v>
      </c>
      <c r="D2266" s="110">
        <v>189729.34</v>
      </c>
      <c r="I2266" s="110">
        <v>187514.34</v>
      </c>
    </row>
    <row r="2267" spans="1:12" x14ac:dyDescent="0.2">
      <c r="A2267" s="56" t="s">
        <v>55</v>
      </c>
      <c r="B2267" t="s">
        <v>107</v>
      </c>
      <c r="C2267" t="s">
        <v>191</v>
      </c>
      <c r="D2267" s="110">
        <v>133950.74</v>
      </c>
      <c r="E2267" s="110">
        <v>133950.74</v>
      </c>
      <c r="F2267" s="110">
        <v>133950.74</v>
      </c>
      <c r="G2267" s="110">
        <v>133950.74</v>
      </c>
      <c r="I2267" s="110">
        <v>133330.74</v>
      </c>
      <c r="J2267" s="110">
        <v>133950.74</v>
      </c>
      <c r="K2267" s="110">
        <v>133950.74</v>
      </c>
      <c r="L2267" s="110">
        <v>133950.74</v>
      </c>
    </row>
    <row r="2268" spans="1:12" x14ac:dyDescent="0.2">
      <c r="A2268" s="56" t="s">
        <v>55</v>
      </c>
      <c r="B2268" t="s">
        <v>107</v>
      </c>
      <c r="C2268" t="s">
        <v>192</v>
      </c>
      <c r="D2268" s="110">
        <v>141087.67999999999</v>
      </c>
      <c r="E2268" s="110">
        <v>140902.68</v>
      </c>
      <c r="F2268" s="110">
        <v>140905.68</v>
      </c>
      <c r="I2268" s="110">
        <v>135992.68</v>
      </c>
      <c r="J2268" s="110">
        <v>140902.68</v>
      </c>
      <c r="K2268" s="110">
        <v>140905.68</v>
      </c>
    </row>
    <row r="2269" spans="1:12" x14ac:dyDescent="0.2">
      <c r="A2269" s="56" t="s">
        <v>55</v>
      </c>
      <c r="B2269" t="s">
        <v>107</v>
      </c>
      <c r="C2269" t="s">
        <v>193</v>
      </c>
      <c r="D2269" s="110">
        <v>160540.22</v>
      </c>
      <c r="E2269" s="110">
        <v>160540.22</v>
      </c>
      <c r="I2269" s="110">
        <v>160240.22</v>
      </c>
      <c r="J2269" s="110">
        <v>160240.22</v>
      </c>
    </row>
    <row r="2270" spans="1:12" x14ac:dyDescent="0.2">
      <c r="A2270" s="56" t="s">
        <v>55</v>
      </c>
      <c r="B2270" t="s">
        <v>107</v>
      </c>
      <c r="C2270" t="s">
        <v>194</v>
      </c>
      <c r="D2270" s="110">
        <v>205378.63</v>
      </c>
      <c r="I2270" s="110">
        <v>203293.22</v>
      </c>
    </row>
    <row r="2271" spans="1:12" x14ac:dyDescent="0.2">
      <c r="A2271" s="56" t="s">
        <v>55</v>
      </c>
      <c r="B2271" t="s">
        <v>108</v>
      </c>
      <c r="C2271" t="s">
        <v>191</v>
      </c>
      <c r="D2271" s="110">
        <v>47221</v>
      </c>
      <c r="E2271" s="110">
        <v>47221</v>
      </c>
      <c r="F2271" s="110">
        <v>47221</v>
      </c>
      <c r="G2271" s="110">
        <v>47221</v>
      </c>
      <c r="I2271" s="110">
        <v>47052</v>
      </c>
      <c r="J2271" s="110">
        <v>47052</v>
      </c>
      <c r="K2271" s="110">
        <v>47052</v>
      </c>
      <c r="L2271" s="110">
        <v>47052</v>
      </c>
    </row>
    <row r="2272" spans="1:12" x14ac:dyDescent="0.2">
      <c r="A2272" s="56" t="s">
        <v>55</v>
      </c>
      <c r="B2272" t="s">
        <v>108</v>
      </c>
      <c r="C2272" t="s">
        <v>192</v>
      </c>
      <c r="D2272" s="110">
        <v>57817.55</v>
      </c>
      <c r="E2272" s="110">
        <v>57817.55</v>
      </c>
      <c r="F2272" s="110">
        <v>57821.05</v>
      </c>
      <c r="I2272" s="110">
        <v>55974.55</v>
      </c>
      <c r="J2272" s="110">
        <v>57576.55</v>
      </c>
      <c r="K2272" s="110">
        <v>57580.05</v>
      </c>
    </row>
    <row r="2273" spans="1:12" x14ac:dyDescent="0.2">
      <c r="A2273" s="56" t="s">
        <v>55</v>
      </c>
      <c r="B2273" t="s">
        <v>108</v>
      </c>
      <c r="C2273" t="s">
        <v>193</v>
      </c>
      <c r="D2273" s="110">
        <v>47077.53</v>
      </c>
      <c r="E2273" s="110">
        <v>47077.53</v>
      </c>
      <c r="I2273" s="110">
        <v>47037.5</v>
      </c>
      <c r="J2273" s="110">
        <v>47037.5</v>
      </c>
    </row>
    <row r="2274" spans="1:12" x14ac:dyDescent="0.2">
      <c r="A2274" s="56" t="s">
        <v>55</v>
      </c>
      <c r="B2274" t="s">
        <v>108</v>
      </c>
      <c r="C2274" t="s">
        <v>194</v>
      </c>
      <c r="D2274" s="110">
        <v>51836.1</v>
      </c>
      <c r="I2274" s="110">
        <v>51477.1</v>
      </c>
    </row>
    <row r="2275" spans="1:12" x14ac:dyDescent="0.2">
      <c r="A2275" s="56" t="s">
        <v>55</v>
      </c>
      <c r="B2275" t="s">
        <v>70</v>
      </c>
      <c r="C2275" t="s">
        <v>191</v>
      </c>
      <c r="D2275" s="110">
        <v>98761.600000000006</v>
      </c>
      <c r="E2275" s="110">
        <v>98789.1</v>
      </c>
      <c r="F2275" s="110">
        <v>98789.1</v>
      </c>
      <c r="G2275" s="110">
        <v>98789.1</v>
      </c>
      <c r="I2275" s="110">
        <v>92167.1</v>
      </c>
      <c r="J2275" s="110">
        <v>94056.6</v>
      </c>
      <c r="K2275" s="110">
        <v>94608.6</v>
      </c>
      <c r="L2275" s="110">
        <v>94863.1</v>
      </c>
    </row>
    <row r="2276" spans="1:12" x14ac:dyDescent="0.2">
      <c r="A2276" s="56" t="s">
        <v>55</v>
      </c>
      <c r="B2276" t="s">
        <v>70</v>
      </c>
      <c r="C2276" t="s">
        <v>192</v>
      </c>
      <c r="D2276" s="110">
        <v>115532.43</v>
      </c>
      <c r="E2276" s="110">
        <v>115202.93</v>
      </c>
      <c r="F2276" s="110">
        <v>115202.93</v>
      </c>
      <c r="I2276" s="110">
        <v>106141.49</v>
      </c>
      <c r="J2276" s="110">
        <v>110244.8</v>
      </c>
      <c r="K2276" s="110">
        <v>111135.3</v>
      </c>
    </row>
    <row r="2277" spans="1:12" x14ac:dyDescent="0.2">
      <c r="A2277" s="56" t="s">
        <v>55</v>
      </c>
      <c r="B2277" t="s">
        <v>70</v>
      </c>
      <c r="C2277" t="s">
        <v>193</v>
      </c>
      <c r="D2277" s="110">
        <v>139728.65</v>
      </c>
      <c r="E2277" s="110">
        <v>139445.65</v>
      </c>
      <c r="I2277" s="110">
        <v>129830.65</v>
      </c>
      <c r="J2277" s="110">
        <v>132415.15</v>
      </c>
    </row>
    <row r="2278" spans="1:12" x14ac:dyDescent="0.2">
      <c r="A2278" s="56" t="s">
        <v>55</v>
      </c>
      <c r="B2278" t="s">
        <v>70</v>
      </c>
      <c r="C2278" t="s">
        <v>194</v>
      </c>
      <c r="D2278" s="110">
        <v>130669.4</v>
      </c>
      <c r="I2278" s="110">
        <v>120354.4</v>
      </c>
    </row>
    <row r="2279" spans="1:12" x14ac:dyDescent="0.2">
      <c r="A2279" s="56" t="s">
        <v>55</v>
      </c>
      <c r="B2279" t="s">
        <v>110</v>
      </c>
      <c r="C2279" t="s">
        <v>191</v>
      </c>
      <c r="D2279" s="110">
        <v>712291.95</v>
      </c>
      <c r="E2279" s="110">
        <v>793591.25</v>
      </c>
      <c r="F2279" s="110">
        <v>794664.75</v>
      </c>
      <c r="G2279" s="110">
        <v>792700.75</v>
      </c>
      <c r="I2279" s="110">
        <v>332194.36</v>
      </c>
      <c r="J2279" s="110">
        <v>575619.16</v>
      </c>
      <c r="K2279" s="110">
        <v>635279.91</v>
      </c>
      <c r="L2279" s="110">
        <v>658404.48</v>
      </c>
    </row>
    <row r="2280" spans="1:12" x14ac:dyDescent="0.2">
      <c r="A2280" s="56" t="s">
        <v>55</v>
      </c>
      <c r="B2280" t="s">
        <v>110</v>
      </c>
      <c r="C2280" t="s">
        <v>192</v>
      </c>
      <c r="D2280" s="110">
        <v>757925.45</v>
      </c>
      <c r="E2280" s="110">
        <v>889789.45</v>
      </c>
      <c r="F2280" s="110">
        <v>887267.2</v>
      </c>
      <c r="I2280" s="110">
        <v>376419.8</v>
      </c>
      <c r="J2280" s="110">
        <v>635607.68000000005</v>
      </c>
      <c r="K2280" s="110">
        <v>703790.41</v>
      </c>
    </row>
    <row r="2281" spans="1:12" x14ac:dyDescent="0.2">
      <c r="A2281" s="56" t="s">
        <v>55</v>
      </c>
      <c r="B2281" t="s">
        <v>110</v>
      </c>
      <c r="C2281" t="s">
        <v>193</v>
      </c>
      <c r="D2281" s="110">
        <v>709342.91</v>
      </c>
      <c r="E2281" s="110">
        <v>818260.55</v>
      </c>
      <c r="I2281" s="110">
        <v>312827.15000000002</v>
      </c>
      <c r="J2281" s="110">
        <v>521391.71</v>
      </c>
    </row>
    <row r="2282" spans="1:12" x14ac:dyDescent="0.2">
      <c r="A2282" s="56" t="s">
        <v>55</v>
      </c>
      <c r="B2282" t="s">
        <v>110</v>
      </c>
      <c r="C2282" t="s">
        <v>194</v>
      </c>
      <c r="D2282" s="110">
        <v>756766.76</v>
      </c>
      <c r="I2282" s="110">
        <v>333346.78000000003</v>
      </c>
    </row>
    <row r="2283" spans="1:12" x14ac:dyDescent="0.2">
      <c r="A2283" s="56" t="s">
        <v>56</v>
      </c>
      <c r="B2283" t="s">
        <v>104</v>
      </c>
      <c r="C2283" t="s">
        <v>191</v>
      </c>
      <c r="D2283" s="110">
        <v>1369334.91</v>
      </c>
      <c r="E2283" s="110">
        <v>1367881.91</v>
      </c>
      <c r="F2283" s="110">
        <v>1364397.2</v>
      </c>
      <c r="G2283" s="110">
        <v>1358495.2</v>
      </c>
      <c r="I2283" s="110">
        <v>19840.330000000002</v>
      </c>
      <c r="J2283" s="110">
        <v>35945.449999999997</v>
      </c>
      <c r="K2283" s="110">
        <v>62403.26</v>
      </c>
      <c r="L2283" s="110">
        <v>83965.25</v>
      </c>
    </row>
    <row r="2284" spans="1:12" x14ac:dyDescent="0.2">
      <c r="A2284" s="56" t="s">
        <v>56</v>
      </c>
      <c r="B2284" t="s">
        <v>104</v>
      </c>
      <c r="C2284" t="s">
        <v>192</v>
      </c>
      <c r="D2284" s="110">
        <v>785584.64000000001</v>
      </c>
      <c r="E2284" s="110">
        <v>782188.28</v>
      </c>
      <c r="F2284" s="110">
        <v>779478.1</v>
      </c>
      <c r="I2284" s="110">
        <v>23488.65</v>
      </c>
      <c r="J2284" s="110">
        <v>49634.22</v>
      </c>
      <c r="K2284" s="110">
        <v>65632.44</v>
      </c>
    </row>
    <row r="2285" spans="1:12" x14ac:dyDescent="0.2">
      <c r="A2285" s="56" t="s">
        <v>56</v>
      </c>
      <c r="B2285" t="s">
        <v>104</v>
      </c>
      <c r="C2285" t="s">
        <v>193</v>
      </c>
      <c r="D2285" s="110">
        <v>599376.48</v>
      </c>
      <c r="E2285" s="110">
        <v>598239.73</v>
      </c>
      <c r="I2285" s="110">
        <v>15283.68</v>
      </c>
      <c r="J2285" s="110">
        <v>35383.339999999997</v>
      </c>
    </row>
    <row r="2286" spans="1:12" x14ac:dyDescent="0.2">
      <c r="A2286" s="56" t="s">
        <v>56</v>
      </c>
      <c r="B2286" t="s">
        <v>104</v>
      </c>
      <c r="C2286" t="s">
        <v>194</v>
      </c>
      <c r="D2286" s="110">
        <v>707315.99</v>
      </c>
      <c r="I2286" s="110">
        <v>14514.87</v>
      </c>
    </row>
    <row r="2287" spans="1:12" x14ac:dyDescent="0.2">
      <c r="A2287" s="56" t="s">
        <v>56</v>
      </c>
      <c r="B2287" t="s">
        <v>140</v>
      </c>
      <c r="C2287" t="s">
        <v>191</v>
      </c>
      <c r="D2287" s="110">
        <v>738912</v>
      </c>
      <c r="E2287" s="110">
        <v>738812</v>
      </c>
      <c r="F2287" s="110">
        <v>738812</v>
      </c>
      <c r="G2287" s="110">
        <v>738762</v>
      </c>
      <c r="I2287" s="110">
        <v>57</v>
      </c>
      <c r="J2287" s="110">
        <v>57</v>
      </c>
      <c r="K2287" s="110">
        <v>57</v>
      </c>
      <c r="L2287" s="110">
        <v>57</v>
      </c>
    </row>
    <row r="2288" spans="1:12" x14ac:dyDescent="0.2">
      <c r="A2288" s="56" t="s">
        <v>56</v>
      </c>
      <c r="B2288" t="s">
        <v>140</v>
      </c>
      <c r="C2288" t="s">
        <v>192</v>
      </c>
      <c r="D2288" s="110">
        <v>162190</v>
      </c>
      <c r="E2288" s="110">
        <v>162240</v>
      </c>
      <c r="F2288" s="110">
        <v>162240</v>
      </c>
      <c r="I2288" s="110">
        <v>171.54</v>
      </c>
      <c r="J2288" s="110">
        <v>566.15</v>
      </c>
      <c r="K2288" s="110">
        <v>806.53</v>
      </c>
    </row>
    <row r="2289" spans="1:12" x14ac:dyDescent="0.2">
      <c r="A2289" s="56" t="s">
        <v>56</v>
      </c>
      <c r="B2289" t="s">
        <v>140</v>
      </c>
      <c r="C2289" t="s">
        <v>193</v>
      </c>
      <c r="D2289" s="110">
        <v>53958</v>
      </c>
      <c r="E2289" s="110">
        <v>53958</v>
      </c>
      <c r="I2289" s="110">
        <v>40</v>
      </c>
      <c r="J2289" s="110">
        <v>40</v>
      </c>
    </row>
    <row r="2290" spans="1:12" x14ac:dyDescent="0.2">
      <c r="A2290" s="56" t="s">
        <v>56</v>
      </c>
      <c r="B2290" t="s">
        <v>140</v>
      </c>
      <c r="C2290" t="s">
        <v>194</v>
      </c>
      <c r="D2290" s="110">
        <v>107221</v>
      </c>
      <c r="I2290" s="110">
        <v>5</v>
      </c>
    </row>
    <row r="2291" spans="1:12" x14ac:dyDescent="0.2">
      <c r="A2291" s="56" t="s">
        <v>56</v>
      </c>
      <c r="B2291" t="s">
        <v>105</v>
      </c>
      <c r="C2291" t="s">
        <v>191</v>
      </c>
      <c r="D2291" s="110">
        <v>438976.92</v>
      </c>
      <c r="E2291" s="110">
        <v>437016.67</v>
      </c>
      <c r="F2291" s="110">
        <v>431733.67</v>
      </c>
      <c r="G2291" s="110">
        <v>429676.83</v>
      </c>
      <c r="I2291" s="110">
        <v>57067.23</v>
      </c>
      <c r="J2291" s="110">
        <v>87427.92</v>
      </c>
      <c r="K2291" s="110">
        <v>110246.51</v>
      </c>
      <c r="L2291" s="110">
        <v>125107.74</v>
      </c>
    </row>
    <row r="2292" spans="1:12" x14ac:dyDescent="0.2">
      <c r="A2292" s="56" t="s">
        <v>56</v>
      </c>
      <c r="B2292" t="s">
        <v>105</v>
      </c>
      <c r="C2292" t="s">
        <v>192</v>
      </c>
      <c r="D2292" s="110">
        <v>470727.55</v>
      </c>
      <c r="E2292" s="110">
        <v>466998.5</v>
      </c>
      <c r="F2292" s="110">
        <v>464931.95</v>
      </c>
      <c r="I2292" s="110">
        <v>70849.679999999993</v>
      </c>
      <c r="J2292" s="110">
        <v>113087.36</v>
      </c>
      <c r="K2292" s="110">
        <v>136017.60999999999</v>
      </c>
    </row>
    <row r="2293" spans="1:12" x14ac:dyDescent="0.2">
      <c r="A2293" s="56" t="s">
        <v>56</v>
      </c>
      <c r="B2293" t="s">
        <v>105</v>
      </c>
      <c r="C2293" t="s">
        <v>193</v>
      </c>
      <c r="D2293" s="110">
        <v>461824</v>
      </c>
      <c r="E2293" s="110">
        <v>460258</v>
      </c>
      <c r="I2293" s="110">
        <v>69359.350000000006</v>
      </c>
      <c r="J2293" s="110">
        <v>94517.8</v>
      </c>
    </row>
    <row r="2294" spans="1:12" x14ac:dyDescent="0.2">
      <c r="A2294" s="56" t="s">
        <v>56</v>
      </c>
      <c r="B2294" t="s">
        <v>105</v>
      </c>
      <c r="C2294" t="s">
        <v>194</v>
      </c>
      <c r="D2294" s="110">
        <v>485944.75</v>
      </c>
      <c r="I2294" s="110">
        <v>54572.72</v>
      </c>
    </row>
    <row r="2295" spans="1:12" x14ac:dyDescent="0.2">
      <c r="A2295" s="56" t="s">
        <v>56</v>
      </c>
      <c r="B2295" t="s">
        <v>111</v>
      </c>
      <c r="C2295" t="s">
        <v>191</v>
      </c>
      <c r="D2295" s="110">
        <v>8657</v>
      </c>
      <c r="E2295" s="110">
        <v>8557.5</v>
      </c>
      <c r="F2295" s="110">
        <v>8557.5</v>
      </c>
      <c r="G2295" s="110">
        <v>8557.5</v>
      </c>
      <c r="I2295" s="110">
        <v>1167.5</v>
      </c>
      <c r="J2295" s="110">
        <v>3034</v>
      </c>
      <c r="K2295" s="110">
        <v>3990.5</v>
      </c>
      <c r="L2295" s="110">
        <v>4040.5</v>
      </c>
    </row>
    <row r="2296" spans="1:12" x14ac:dyDescent="0.2">
      <c r="A2296" s="56" t="s">
        <v>56</v>
      </c>
      <c r="B2296" t="s">
        <v>111</v>
      </c>
      <c r="C2296" t="s">
        <v>192</v>
      </c>
      <c r="D2296" s="110">
        <v>13602.5</v>
      </c>
      <c r="E2296" s="110">
        <v>13179.5</v>
      </c>
      <c r="F2296" s="110">
        <v>13056.5</v>
      </c>
      <c r="I2296" s="110">
        <v>2218.5300000000002</v>
      </c>
      <c r="J2296" s="110">
        <v>4068.53</v>
      </c>
      <c r="K2296" s="110">
        <v>4291.53</v>
      </c>
    </row>
    <row r="2297" spans="1:12" x14ac:dyDescent="0.2">
      <c r="A2297" s="56" t="s">
        <v>56</v>
      </c>
      <c r="B2297" t="s">
        <v>111</v>
      </c>
      <c r="C2297" t="s">
        <v>193</v>
      </c>
      <c r="D2297" s="110">
        <v>14092</v>
      </c>
      <c r="E2297" s="110">
        <v>14042</v>
      </c>
      <c r="I2297" s="110">
        <v>1798</v>
      </c>
      <c r="J2297" s="110">
        <v>4548</v>
      </c>
    </row>
    <row r="2298" spans="1:12" x14ac:dyDescent="0.2">
      <c r="A2298" s="56" t="s">
        <v>56</v>
      </c>
      <c r="B2298" t="s">
        <v>111</v>
      </c>
      <c r="C2298" t="s">
        <v>194</v>
      </c>
      <c r="D2298" s="110">
        <v>12291</v>
      </c>
      <c r="I2298" s="110">
        <v>1460</v>
      </c>
    </row>
    <row r="2299" spans="1:12" x14ac:dyDescent="0.2">
      <c r="A2299" s="56" t="s">
        <v>56</v>
      </c>
      <c r="B2299" t="s">
        <v>109</v>
      </c>
      <c r="C2299" t="s">
        <v>191</v>
      </c>
      <c r="D2299" s="110">
        <v>460967.25</v>
      </c>
      <c r="E2299" s="110">
        <v>456339.39</v>
      </c>
      <c r="F2299" s="110">
        <v>452273.39</v>
      </c>
      <c r="G2299" s="110">
        <v>451095.39</v>
      </c>
      <c r="I2299" s="110">
        <v>129952.5</v>
      </c>
      <c r="J2299" s="110">
        <v>193673.48</v>
      </c>
      <c r="K2299" s="110">
        <v>236505.34</v>
      </c>
      <c r="L2299" s="110">
        <v>272581.18</v>
      </c>
    </row>
    <row r="2300" spans="1:12" x14ac:dyDescent="0.2">
      <c r="A2300" s="56" t="s">
        <v>56</v>
      </c>
      <c r="B2300" t="s">
        <v>109</v>
      </c>
      <c r="C2300" t="s">
        <v>192</v>
      </c>
      <c r="D2300" s="110">
        <v>456626.5</v>
      </c>
      <c r="E2300" s="110">
        <v>451598.03</v>
      </c>
      <c r="F2300" s="110">
        <v>447611.78</v>
      </c>
      <c r="I2300" s="110">
        <v>134227.25</v>
      </c>
      <c r="J2300" s="110">
        <v>197724.76</v>
      </c>
      <c r="K2300" s="110">
        <v>222695.15</v>
      </c>
    </row>
    <row r="2301" spans="1:12" x14ac:dyDescent="0.2">
      <c r="A2301" s="56" t="s">
        <v>56</v>
      </c>
      <c r="B2301" t="s">
        <v>109</v>
      </c>
      <c r="C2301" t="s">
        <v>193</v>
      </c>
      <c r="D2301" s="110">
        <v>457628</v>
      </c>
      <c r="E2301" s="110">
        <v>456373</v>
      </c>
      <c r="I2301" s="110">
        <v>141915.63</v>
      </c>
      <c r="J2301" s="110">
        <v>209071.81</v>
      </c>
    </row>
    <row r="2302" spans="1:12" x14ac:dyDescent="0.2">
      <c r="A2302" s="56" t="s">
        <v>56</v>
      </c>
      <c r="B2302" t="s">
        <v>109</v>
      </c>
      <c r="C2302" t="s">
        <v>194</v>
      </c>
      <c r="D2302" s="110">
        <v>495715.5</v>
      </c>
      <c r="I2302" s="110">
        <v>150476.07999999999</v>
      </c>
    </row>
    <row r="2303" spans="1:12" x14ac:dyDescent="0.2">
      <c r="A2303" s="56" t="s">
        <v>56</v>
      </c>
      <c r="B2303" t="s">
        <v>106</v>
      </c>
      <c r="C2303" t="s">
        <v>191</v>
      </c>
      <c r="D2303" s="110">
        <v>384043.11</v>
      </c>
      <c r="E2303" s="110">
        <v>386611.11</v>
      </c>
      <c r="F2303" s="110">
        <v>385049.11</v>
      </c>
      <c r="G2303" s="110">
        <v>384909.11</v>
      </c>
      <c r="I2303" s="110">
        <v>364583.61</v>
      </c>
      <c r="J2303" s="110">
        <v>373345.11</v>
      </c>
      <c r="K2303" s="110">
        <v>380514.11</v>
      </c>
      <c r="L2303" s="110">
        <v>380381.61</v>
      </c>
    </row>
    <row r="2304" spans="1:12" x14ac:dyDescent="0.2">
      <c r="A2304" s="56" t="s">
        <v>56</v>
      </c>
      <c r="B2304" t="s">
        <v>106</v>
      </c>
      <c r="C2304" t="s">
        <v>192</v>
      </c>
      <c r="D2304" s="110">
        <v>540736.89</v>
      </c>
      <c r="E2304" s="110">
        <v>540773.89</v>
      </c>
      <c r="F2304" s="110">
        <v>540268.89</v>
      </c>
      <c r="I2304" s="110">
        <v>529131.92000000004</v>
      </c>
      <c r="J2304" s="110">
        <v>536808.89</v>
      </c>
      <c r="K2304" s="110">
        <v>536828.89</v>
      </c>
    </row>
    <row r="2305" spans="1:12" x14ac:dyDescent="0.2">
      <c r="A2305" s="56" t="s">
        <v>56</v>
      </c>
      <c r="B2305" t="s">
        <v>106</v>
      </c>
      <c r="C2305" t="s">
        <v>193</v>
      </c>
      <c r="D2305" s="110">
        <v>643074.93000000005</v>
      </c>
      <c r="E2305" s="110">
        <v>639956.93000000005</v>
      </c>
      <c r="I2305" s="110">
        <v>624772.93000000005</v>
      </c>
      <c r="J2305" s="110">
        <v>636918.43000000005</v>
      </c>
    </row>
    <row r="2306" spans="1:12" x14ac:dyDescent="0.2">
      <c r="A2306" s="56" t="s">
        <v>56</v>
      </c>
      <c r="B2306" t="s">
        <v>106</v>
      </c>
      <c r="C2306" t="s">
        <v>194</v>
      </c>
      <c r="D2306" s="110">
        <v>600798.85</v>
      </c>
      <c r="I2306" s="110">
        <v>582447.35</v>
      </c>
    </row>
    <row r="2307" spans="1:12" x14ac:dyDescent="0.2">
      <c r="A2307" s="56" t="s">
        <v>56</v>
      </c>
      <c r="B2307" t="s">
        <v>107</v>
      </c>
      <c r="C2307" t="s">
        <v>191</v>
      </c>
      <c r="D2307" s="110">
        <v>419885.13</v>
      </c>
      <c r="E2307" s="110">
        <v>419125.13</v>
      </c>
      <c r="F2307" s="110">
        <v>418815.13</v>
      </c>
      <c r="G2307" s="110">
        <v>418815.13</v>
      </c>
      <c r="I2307" s="110">
        <v>417369.17</v>
      </c>
      <c r="J2307" s="110">
        <v>417524.38</v>
      </c>
      <c r="K2307" s="110">
        <v>417609.38</v>
      </c>
      <c r="L2307" s="110">
        <v>417651.88</v>
      </c>
    </row>
    <row r="2308" spans="1:12" x14ac:dyDescent="0.2">
      <c r="A2308" s="56" t="s">
        <v>56</v>
      </c>
      <c r="B2308" t="s">
        <v>107</v>
      </c>
      <c r="C2308" t="s">
        <v>192</v>
      </c>
      <c r="D2308" s="110">
        <v>445001.41</v>
      </c>
      <c r="E2308" s="110">
        <v>444700.05</v>
      </c>
      <c r="F2308" s="110">
        <v>444700.05</v>
      </c>
      <c r="I2308" s="110">
        <v>443520.02</v>
      </c>
      <c r="J2308" s="110">
        <v>444478.57</v>
      </c>
      <c r="K2308" s="110">
        <v>444603.57</v>
      </c>
    </row>
    <row r="2309" spans="1:12" x14ac:dyDescent="0.2">
      <c r="A2309" s="56" t="s">
        <v>56</v>
      </c>
      <c r="B2309" t="s">
        <v>107</v>
      </c>
      <c r="C2309" t="s">
        <v>193</v>
      </c>
      <c r="D2309" s="110">
        <v>417968.42</v>
      </c>
      <c r="E2309" s="110">
        <v>417843.42</v>
      </c>
      <c r="I2309" s="110">
        <v>417138.42</v>
      </c>
      <c r="J2309" s="110">
        <v>417483.42</v>
      </c>
    </row>
    <row r="2310" spans="1:12" x14ac:dyDescent="0.2">
      <c r="A2310" s="56" t="s">
        <v>56</v>
      </c>
      <c r="B2310" t="s">
        <v>107</v>
      </c>
      <c r="C2310" t="s">
        <v>194</v>
      </c>
      <c r="D2310" s="110">
        <v>409849.59</v>
      </c>
      <c r="I2310" s="110">
        <v>408501.09</v>
      </c>
    </row>
    <row r="2311" spans="1:12" x14ac:dyDescent="0.2">
      <c r="A2311" s="56" t="s">
        <v>56</v>
      </c>
      <c r="B2311" t="s">
        <v>108</v>
      </c>
      <c r="C2311" t="s">
        <v>191</v>
      </c>
      <c r="D2311" s="110">
        <v>223825.38</v>
      </c>
      <c r="E2311" s="110">
        <v>220901.38</v>
      </c>
      <c r="F2311" s="110">
        <v>220901.38</v>
      </c>
      <c r="G2311" s="110">
        <v>220501.38</v>
      </c>
      <c r="I2311" s="110">
        <v>213047.38</v>
      </c>
      <c r="J2311" s="110">
        <v>218960.38</v>
      </c>
      <c r="K2311" s="110">
        <v>219987.38</v>
      </c>
      <c r="L2311" s="110">
        <v>219987.38</v>
      </c>
    </row>
    <row r="2312" spans="1:12" x14ac:dyDescent="0.2">
      <c r="A2312" s="56" t="s">
        <v>56</v>
      </c>
      <c r="B2312" t="s">
        <v>108</v>
      </c>
      <c r="C2312" t="s">
        <v>192</v>
      </c>
      <c r="D2312" s="110">
        <v>223297.54</v>
      </c>
      <c r="E2312" s="110">
        <v>222082.54</v>
      </c>
      <c r="F2312" s="110">
        <v>220358.54</v>
      </c>
      <c r="I2312" s="110">
        <v>218673.54</v>
      </c>
      <c r="J2312" s="110">
        <v>219958.54</v>
      </c>
      <c r="K2312" s="110">
        <v>219958.54</v>
      </c>
    </row>
    <row r="2313" spans="1:12" x14ac:dyDescent="0.2">
      <c r="A2313" s="56" t="s">
        <v>56</v>
      </c>
      <c r="B2313" t="s">
        <v>108</v>
      </c>
      <c r="C2313" t="s">
        <v>193</v>
      </c>
      <c r="D2313" s="110">
        <v>216744.53</v>
      </c>
      <c r="E2313" s="110">
        <v>213874.53</v>
      </c>
      <c r="I2313" s="110">
        <v>209983.53</v>
      </c>
      <c r="J2313" s="110">
        <v>210269.53</v>
      </c>
    </row>
    <row r="2314" spans="1:12" x14ac:dyDescent="0.2">
      <c r="A2314" s="56" t="s">
        <v>56</v>
      </c>
      <c r="B2314" t="s">
        <v>108</v>
      </c>
      <c r="C2314" t="s">
        <v>194</v>
      </c>
      <c r="D2314" s="110">
        <v>230354.16</v>
      </c>
      <c r="I2314" s="110">
        <v>218157.16</v>
      </c>
    </row>
    <row r="2315" spans="1:12" x14ac:dyDescent="0.2">
      <c r="A2315" s="56" t="s">
        <v>56</v>
      </c>
      <c r="B2315" t="s">
        <v>70</v>
      </c>
      <c r="C2315" t="s">
        <v>191</v>
      </c>
      <c r="D2315" s="110">
        <v>187838.4</v>
      </c>
      <c r="E2315" s="110">
        <v>187417.9</v>
      </c>
      <c r="F2315" s="110">
        <v>187117.9</v>
      </c>
      <c r="G2315" s="110">
        <v>187117.9</v>
      </c>
      <c r="I2315" s="110">
        <v>183375.95</v>
      </c>
      <c r="J2315" s="110">
        <v>185136.9</v>
      </c>
      <c r="K2315" s="110">
        <v>185147.4</v>
      </c>
      <c r="L2315" s="110">
        <v>185147.4</v>
      </c>
    </row>
    <row r="2316" spans="1:12" x14ac:dyDescent="0.2">
      <c r="A2316" s="56" t="s">
        <v>56</v>
      </c>
      <c r="B2316" t="s">
        <v>70</v>
      </c>
      <c r="C2316" t="s">
        <v>192</v>
      </c>
      <c r="D2316" s="110">
        <v>213285.9</v>
      </c>
      <c r="E2316" s="110">
        <v>212193.4</v>
      </c>
      <c r="F2316" s="110">
        <v>212193.4</v>
      </c>
      <c r="I2316" s="110">
        <v>208531.19</v>
      </c>
      <c r="J2316" s="110">
        <v>211845.9</v>
      </c>
      <c r="K2316" s="110">
        <v>211856.4</v>
      </c>
    </row>
    <row r="2317" spans="1:12" x14ac:dyDescent="0.2">
      <c r="A2317" s="56" t="s">
        <v>56</v>
      </c>
      <c r="B2317" t="s">
        <v>70</v>
      </c>
      <c r="C2317" t="s">
        <v>193</v>
      </c>
      <c r="D2317" s="110">
        <v>217866.65</v>
      </c>
      <c r="E2317" s="110">
        <v>217060.15</v>
      </c>
      <c r="I2317" s="110">
        <v>213288.15</v>
      </c>
      <c r="J2317" s="110">
        <v>214800.65</v>
      </c>
    </row>
    <row r="2318" spans="1:12" x14ac:dyDescent="0.2">
      <c r="A2318" s="56" t="s">
        <v>56</v>
      </c>
      <c r="B2318" t="s">
        <v>70</v>
      </c>
      <c r="C2318" t="s">
        <v>194</v>
      </c>
      <c r="D2318" s="110">
        <v>204687.34</v>
      </c>
      <c r="I2318" s="110">
        <v>198454.34</v>
      </c>
    </row>
    <row r="2319" spans="1:12" x14ac:dyDescent="0.2">
      <c r="A2319" s="56" t="s">
        <v>56</v>
      </c>
      <c r="B2319" t="s">
        <v>110</v>
      </c>
      <c r="C2319" t="s">
        <v>191</v>
      </c>
      <c r="D2319" s="110">
        <v>1930788.8</v>
      </c>
      <c r="E2319" s="110">
        <v>1829891.64</v>
      </c>
      <c r="F2319" s="110">
        <v>1820819.64</v>
      </c>
      <c r="G2319" s="110">
        <v>1816477.64</v>
      </c>
      <c r="I2319" s="110">
        <v>880403.73</v>
      </c>
      <c r="J2319" s="110">
        <v>1402914.59</v>
      </c>
      <c r="K2319" s="110">
        <v>1487363.41</v>
      </c>
      <c r="L2319" s="110">
        <v>1536221.79</v>
      </c>
    </row>
    <row r="2320" spans="1:12" x14ac:dyDescent="0.2">
      <c r="A2320" s="56" t="s">
        <v>56</v>
      </c>
      <c r="B2320" t="s">
        <v>110</v>
      </c>
      <c r="C2320" t="s">
        <v>192</v>
      </c>
      <c r="D2320" s="110">
        <v>2183310.2999999998</v>
      </c>
      <c r="E2320" s="110">
        <v>2068153.18</v>
      </c>
      <c r="F2320" s="110">
        <v>2059623.31</v>
      </c>
      <c r="I2320" s="110">
        <v>1098668.01</v>
      </c>
      <c r="J2320" s="110">
        <v>1626352.08</v>
      </c>
      <c r="K2320" s="110">
        <v>1709808.7</v>
      </c>
    </row>
    <row r="2321" spans="1:12" x14ac:dyDescent="0.2">
      <c r="A2321" s="56" t="s">
        <v>56</v>
      </c>
      <c r="B2321" t="s">
        <v>110</v>
      </c>
      <c r="C2321" t="s">
        <v>193</v>
      </c>
      <c r="D2321" s="110">
        <v>1939547.83</v>
      </c>
      <c r="E2321" s="110">
        <v>1847552.9</v>
      </c>
      <c r="I2321" s="110">
        <v>1015412.48</v>
      </c>
      <c r="J2321" s="110">
        <v>1441454.32</v>
      </c>
    </row>
    <row r="2322" spans="1:12" x14ac:dyDescent="0.2">
      <c r="A2322" s="56" t="s">
        <v>56</v>
      </c>
      <c r="B2322" t="s">
        <v>110</v>
      </c>
      <c r="C2322" t="s">
        <v>194</v>
      </c>
      <c r="D2322" s="110">
        <v>1675914.75</v>
      </c>
      <c r="I2322" s="110">
        <v>931770.84</v>
      </c>
    </row>
    <row r="2323" spans="1:12" x14ac:dyDescent="0.2">
      <c r="A2323" s="56" t="s">
        <v>57</v>
      </c>
      <c r="B2323" t="s">
        <v>104</v>
      </c>
      <c r="C2323" t="s">
        <v>191</v>
      </c>
      <c r="D2323" s="110">
        <v>1203439.57</v>
      </c>
      <c r="E2323" s="110">
        <v>1229563.68</v>
      </c>
      <c r="F2323" s="110">
        <v>1244316.03</v>
      </c>
      <c r="G2323" s="110">
        <v>1257364.8799999999</v>
      </c>
      <c r="I2323" s="110">
        <v>38286.76</v>
      </c>
      <c r="J2323" s="110">
        <v>74062.2</v>
      </c>
      <c r="K2323" s="110">
        <v>98339.64</v>
      </c>
      <c r="L2323" s="110">
        <v>119008.37</v>
      </c>
    </row>
    <row r="2324" spans="1:12" x14ac:dyDescent="0.2">
      <c r="A2324" s="56" t="s">
        <v>57</v>
      </c>
      <c r="B2324" t="s">
        <v>104</v>
      </c>
      <c r="C2324" t="s">
        <v>192</v>
      </c>
      <c r="D2324" s="110">
        <v>1642853.55</v>
      </c>
      <c r="E2324" s="110">
        <v>1670982.63</v>
      </c>
      <c r="F2324" s="110">
        <v>1691341.59</v>
      </c>
      <c r="I2324" s="110">
        <v>65376.88</v>
      </c>
      <c r="J2324" s="110">
        <v>111356.95</v>
      </c>
      <c r="K2324" s="110">
        <v>145501.65</v>
      </c>
    </row>
    <row r="2325" spans="1:12" x14ac:dyDescent="0.2">
      <c r="A2325" s="56" t="s">
        <v>57</v>
      </c>
      <c r="B2325" t="s">
        <v>104</v>
      </c>
      <c r="C2325" t="s">
        <v>193</v>
      </c>
      <c r="D2325" s="110">
        <v>1534315.1</v>
      </c>
      <c r="E2325" s="110">
        <v>1556344.47</v>
      </c>
      <c r="I2325" s="110">
        <v>57078.8</v>
      </c>
      <c r="J2325" s="110">
        <v>95473.15</v>
      </c>
    </row>
    <row r="2326" spans="1:12" x14ac:dyDescent="0.2">
      <c r="A2326" s="56" t="s">
        <v>57</v>
      </c>
      <c r="B2326" t="s">
        <v>104</v>
      </c>
      <c r="C2326" t="s">
        <v>194</v>
      </c>
      <c r="D2326" s="110">
        <v>616560.5</v>
      </c>
      <c r="I2326" s="110">
        <v>36477.06</v>
      </c>
    </row>
    <row r="2327" spans="1:12" x14ac:dyDescent="0.2">
      <c r="A2327" s="56" t="s">
        <v>57</v>
      </c>
      <c r="B2327" t="s">
        <v>140</v>
      </c>
      <c r="C2327" t="s">
        <v>191</v>
      </c>
      <c r="D2327" s="110">
        <v>741631.33</v>
      </c>
      <c r="I2327" s="110">
        <v>9418.61</v>
      </c>
    </row>
    <row r="2328" spans="1:12" x14ac:dyDescent="0.2">
      <c r="A2328" s="56" t="s">
        <v>57</v>
      </c>
      <c r="B2328" t="s">
        <v>140</v>
      </c>
      <c r="C2328" t="s">
        <v>192</v>
      </c>
      <c r="D2328" s="110">
        <v>953277.3</v>
      </c>
      <c r="I2328" s="110">
        <v>11161.62</v>
      </c>
    </row>
    <row r="2329" spans="1:12" x14ac:dyDescent="0.2">
      <c r="A2329" s="56" t="s">
        <v>57</v>
      </c>
      <c r="B2329" t="s">
        <v>140</v>
      </c>
      <c r="C2329" t="s">
        <v>193</v>
      </c>
      <c r="D2329" s="110">
        <v>897970.99</v>
      </c>
      <c r="I2329" s="110">
        <v>20881.05</v>
      </c>
    </row>
    <row r="2330" spans="1:12" x14ac:dyDescent="0.2">
      <c r="A2330" s="56" t="s">
        <v>57</v>
      </c>
      <c r="B2330" t="s">
        <v>140</v>
      </c>
      <c r="C2330" t="s">
        <v>194</v>
      </c>
      <c r="D2330" s="110">
        <v>158786</v>
      </c>
      <c r="I2330" s="110">
        <v>13005.1</v>
      </c>
    </row>
    <row r="2331" spans="1:12" x14ac:dyDescent="0.2">
      <c r="A2331" s="56" t="s">
        <v>57</v>
      </c>
      <c r="B2331" t="s">
        <v>105</v>
      </c>
      <c r="C2331" t="s">
        <v>191</v>
      </c>
      <c r="D2331" s="110">
        <v>370382.93</v>
      </c>
      <c r="E2331" s="110">
        <v>379608.96</v>
      </c>
      <c r="F2331" s="110">
        <v>389751.84</v>
      </c>
      <c r="G2331" s="110">
        <v>392675.42</v>
      </c>
      <c r="I2331" s="110">
        <v>79128.58</v>
      </c>
      <c r="J2331" s="110">
        <v>147337.79999999999</v>
      </c>
      <c r="K2331" s="110">
        <v>179794.84</v>
      </c>
      <c r="L2331" s="110">
        <v>196934.24</v>
      </c>
    </row>
    <row r="2332" spans="1:12" x14ac:dyDescent="0.2">
      <c r="A2332" s="56" t="s">
        <v>57</v>
      </c>
      <c r="B2332" t="s">
        <v>105</v>
      </c>
      <c r="C2332" t="s">
        <v>192</v>
      </c>
      <c r="D2332" s="110">
        <v>430462.62</v>
      </c>
      <c r="E2332" s="110">
        <v>442008.63</v>
      </c>
      <c r="F2332" s="110">
        <v>452146.1</v>
      </c>
      <c r="I2332" s="110">
        <v>107610.67</v>
      </c>
      <c r="J2332" s="110">
        <v>176233.54</v>
      </c>
      <c r="K2332" s="110">
        <v>217812.94</v>
      </c>
    </row>
    <row r="2333" spans="1:12" x14ac:dyDescent="0.2">
      <c r="A2333" s="56" t="s">
        <v>57</v>
      </c>
      <c r="B2333" t="s">
        <v>105</v>
      </c>
      <c r="C2333" t="s">
        <v>193</v>
      </c>
      <c r="D2333" s="110">
        <v>442266.39</v>
      </c>
      <c r="E2333" s="110">
        <v>451620.4</v>
      </c>
      <c r="I2333" s="110">
        <v>104281.53</v>
      </c>
      <c r="J2333" s="110">
        <v>181257.3</v>
      </c>
    </row>
    <row r="2334" spans="1:12" x14ac:dyDescent="0.2">
      <c r="A2334" s="56" t="s">
        <v>57</v>
      </c>
      <c r="B2334" t="s">
        <v>105</v>
      </c>
      <c r="C2334" t="s">
        <v>194</v>
      </c>
      <c r="D2334" s="110">
        <v>406684.89</v>
      </c>
      <c r="I2334" s="110">
        <v>81694.149999999994</v>
      </c>
    </row>
    <row r="2335" spans="1:12" x14ac:dyDescent="0.2">
      <c r="A2335" s="56" t="s">
        <v>57</v>
      </c>
      <c r="B2335" t="s">
        <v>111</v>
      </c>
      <c r="C2335" t="s">
        <v>191</v>
      </c>
      <c r="D2335" s="110">
        <v>13553</v>
      </c>
      <c r="E2335" s="110">
        <v>16954</v>
      </c>
      <c r="F2335" s="110">
        <v>17604</v>
      </c>
      <c r="G2335" s="110">
        <v>18504</v>
      </c>
      <c r="I2335" s="110">
        <v>1852</v>
      </c>
      <c r="J2335" s="110">
        <v>4633</v>
      </c>
      <c r="K2335" s="110">
        <v>6709.27</v>
      </c>
      <c r="L2335" s="110">
        <v>8279</v>
      </c>
    </row>
    <row r="2336" spans="1:12" x14ac:dyDescent="0.2">
      <c r="A2336" s="56" t="s">
        <v>57</v>
      </c>
      <c r="B2336" t="s">
        <v>111</v>
      </c>
      <c r="C2336" t="s">
        <v>192</v>
      </c>
      <c r="D2336" s="110">
        <v>4750</v>
      </c>
      <c r="E2336" s="110">
        <v>13451</v>
      </c>
      <c r="F2336" s="110">
        <v>19801</v>
      </c>
      <c r="I2336" s="110">
        <v>950</v>
      </c>
      <c r="J2336" s="110">
        <v>4225</v>
      </c>
      <c r="K2336" s="110">
        <v>5085</v>
      </c>
    </row>
    <row r="2337" spans="1:12" x14ac:dyDescent="0.2">
      <c r="A2337" s="56" t="s">
        <v>57</v>
      </c>
      <c r="B2337" t="s">
        <v>111</v>
      </c>
      <c r="C2337" t="s">
        <v>193</v>
      </c>
      <c r="D2337" s="110">
        <v>8550</v>
      </c>
      <c r="E2337" s="110">
        <v>20201</v>
      </c>
      <c r="I2337" s="110">
        <v>1375</v>
      </c>
      <c r="J2337" s="110">
        <v>3392.83</v>
      </c>
    </row>
    <row r="2338" spans="1:12" x14ac:dyDescent="0.2">
      <c r="A2338" s="56" t="s">
        <v>57</v>
      </c>
      <c r="B2338" t="s">
        <v>111</v>
      </c>
      <c r="C2338" t="s">
        <v>194</v>
      </c>
      <c r="D2338" s="110">
        <v>6150</v>
      </c>
      <c r="I2338" s="110">
        <v>700</v>
      </c>
    </row>
    <row r="2339" spans="1:12" x14ac:dyDescent="0.2">
      <c r="A2339" t="s">
        <v>57</v>
      </c>
      <c r="B2339" t="s">
        <v>109</v>
      </c>
      <c r="C2339" t="s">
        <v>191</v>
      </c>
      <c r="D2339" s="110">
        <v>414102.73</v>
      </c>
      <c r="E2339" s="110">
        <v>422037.11</v>
      </c>
      <c r="F2339" s="110">
        <v>431710</v>
      </c>
      <c r="G2339" s="110">
        <v>436615.96</v>
      </c>
      <c r="I2339" s="110">
        <v>135584.12</v>
      </c>
      <c r="J2339" s="110">
        <v>216726.45</v>
      </c>
      <c r="K2339" s="110">
        <v>248145.59</v>
      </c>
      <c r="L2339" s="110">
        <v>267751.27</v>
      </c>
    </row>
    <row r="2340" spans="1:12" x14ac:dyDescent="0.2">
      <c r="A2340" t="s">
        <v>57</v>
      </c>
      <c r="B2340" t="s">
        <v>109</v>
      </c>
      <c r="C2340" t="s">
        <v>192</v>
      </c>
      <c r="D2340" s="110">
        <v>535639.44999999995</v>
      </c>
      <c r="E2340" s="110">
        <v>549030.39</v>
      </c>
      <c r="F2340" s="110">
        <v>559979.93000000005</v>
      </c>
      <c r="I2340" s="110">
        <v>203867.17</v>
      </c>
      <c r="J2340" s="110">
        <v>303720.98</v>
      </c>
      <c r="K2340" s="110">
        <v>358318.44</v>
      </c>
    </row>
    <row r="2341" spans="1:12" x14ac:dyDescent="0.2">
      <c r="A2341" t="s">
        <v>57</v>
      </c>
      <c r="B2341" t="s">
        <v>109</v>
      </c>
      <c r="C2341" t="s">
        <v>193</v>
      </c>
      <c r="D2341" s="110">
        <v>457083.35</v>
      </c>
      <c r="E2341" s="110">
        <v>469000.77</v>
      </c>
      <c r="I2341" s="110">
        <v>167130.03</v>
      </c>
      <c r="J2341" s="110">
        <v>249235.39</v>
      </c>
    </row>
    <row r="2342" spans="1:12" x14ac:dyDescent="0.2">
      <c r="A2342" t="s">
        <v>57</v>
      </c>
      <c r="B2342" t="s">
        <v>109</v>
      </c>
      <c r="C2342" t="s">
        <v>194</v>
      </c>
      <c r="D2342" s="110">
        <v>425507.45</v>
      </c>
      <c r="I2342" s="110">
        <v>145662.82999999999</v>
      </c>
    </row>
    <row r="2343" spans="1:12" x14ac:dyDescent="0.2">
      <c r="A2343" t="s">
        <v>57</v>
      </c>
      <c r="B2343" t="s">
        <v>106</v>
      </c>
      <c r="C2343" t="s">
        <v>191</v>
      </c>
      <c r="D2343" s="110">
        <v>301996.5</v>
      </c>
      <c r="E2343" s="110">
        <v>301996.5</v>
      </c>
      <c r="F2343" s="110">
        <v>301996.5</v>
      </c>
      <c r="G2343" s="110">
        <v>301996.5</v>
      </c>
      <c r="I2343" s="110">
        <v>301996.5</v>
      </c>
      <c r="J2343" s="110">
        <v>301996.5</v>
      </c>
      <c r="K2343" s="110">
        <v>301996.5</v>
      </c>
      <c r="L2343" s="110">
        <v>301996.5</v>
      </c>
    </row>
    <row r="2344" spans="1:12" x14ac:dyDescent="0.2">
      <c r="A2344" t="s">
        <v>57</v>
      </c>
      <c r="B2344" t="s">
        <v>106</v>
      </c>
      <c r="C2344" t="s">
        <v>192</v>
      </c>
      <c r="D2344" s="110">
        <v>423830</v>
      </c>
      <c r="E2344" s="110">
        <v>423830</v>
      </c>
      <c r="F2344" s="110">
        <v>423830</v>
      </c>
      <c r="I2344" s="110">
        <v>423435</v>
      </c>
      <c r="J2344" s="110">
        <v>423435</v>
      </c>
      <c r="K2344" s="110">
        <v>423435</v>
      </c>
    </row>
    <row r="2345" spans="1:12" x14ac:dyDescent="0.2">
      <c r="A2345" t="s">
        <v>57</v>
      </c>
      <c r="B2345" t="s">
        <v>106</v>
      </c>
      <c r="C2345" t="s">
        <v>193</v>
      </c>
      <c r="D2345" s="110">
        <v>560287.5</v>
      </c>
      <c r="E2345" s="110">
        <v>560287.5</v>
      </c>
      <c r="I2345" s="110">
        <v>560287.5</v>
      </c>
      <c r="J2345" s="110">
        <v>560287.5</v>
      </c>
    </row>
    <row r="2346" spans="1:12" x14ac:dyDescent="0.2">
      <c r="A2346" t="s">
        <v>57</v>
      </c>
      <c r="B2346" t="s">
        <v>106</v>
      </c>
      <c r="C2346" t="s">
        <v>194</v>
      </c>
      <c r="D2346" s="110">
        <v>496315</v>
      </c>
      <c r="I2346" s="110">
        <v>495920</v>
      </c>
    </row>
    <row r="2347" spans="1:12" x14ac:dyDescent="0.2">
      <c r="A2347" t="s">
        <v>57</v>
      </c>
      <c r="B2347" t="s">
        <v>107</v>
      </c>
      <c r="C2347" t="s">
        <v>191</v>
      </c>
      <c r="D2347" s="110">
        <v>405427.12</v>
      </c>
      <c r="E2347" s="110">
        <v>405427.12</v>
      </c>
      <c r="F2347" s="110">
        <v>405427.12</v>
      </c>
      <c r="G2347" s="110">
        <v>405427.12</v>
      </c>
      <c r="I2347" s="110">
        <v>405427.12</v>
      </c>
      <c r="J2347" s="110">
        <v>405427.12</v>
      </c>
      <c r="K2347" s="110">
        <v>405427.12</v>
      </c>
      <c r="L2347" s="110">
        <v>405427.12</v>
      </c>
    </row>
    <row r="2348" spans="1:12" x14ac:dyDescent="0.2">
      <c r="A2348" t="s">
        <v>57</v>
      </c>
      <c r="B2348" t="s">
        <v>107</v>
      </c>
      <c r="C2348" t="s">
        <v>192</v>
      </c>
      <c r="D2348" s="110">
        <v>423819.41</v>
      </c>
      <c r="E2348" s="110">
        <v>423819.41</v>
      </c>
      <c r="F2348" s="110">
        <v>423819.41</v>
      </c>
      <c r="I2348" s="110">
        <v>423819.41</v>
      </c>
      <c r="J2348" s="110">
        <v>423819.41</v>
      </c>
      <c r="K2348" s="110">
        <v>423819.41</v>
      </c>
    </row>
    <row r="2349" spans="1:12" x14ac:dyDescent="0.2">
      <c r="A2349" t="s">
        <v>57</v>
      </c>
      <c r="B2349" t="s">
        <v>107</v>
      </c>
      <c r="C2349" t="s">
        <v>193</v>
      </c>
      <c r="D2349" s="110">
        <v>485456.16</v>
      </c>
      <c r="E2349" s="110">
        <v>485456.16</v>
      </c>
      <c r="I2349" s="110">
        <v>485456.16</v>
      </c>
      <c r="J2349" s="110">
        <v>485456.16</v>
      </c>
    </row>
    <row r="2350" spans="1:12" x14ac:dyDescent="0.2">
      <c r="A2350" t="s">
        <v>57</v>
      </c>
      <c r="B2350" t="s">
        <v>107</v>
      </c>
      <c r="C2350" t="s">
        <v>194</v>
      </c>
      <c r="D2350" s="110">
        <v>504502.5</v>
      </c>
      <c r="I2350" s="110">
        <v>504502.5</v>
      </c>
    </row>
    <row r="2351" spans="1:12" x14ac:dyDescent="0.2">
      <c r="A2351" t="s">
        <v>57</v>
      </c>
      <c r="B2351" t="s">
        <v>108</v>
      </c>
      <c r="C2351" t="s">
        <v>191</v>
      </c>
      <c r="D2351" s="110">
        <v>104086</v>
      </c>
      <c r="E2351" s="110">
        <v>104086</v>
      </c>
      <c r="F2351" s="110">
        <v>104086</v>
      </c>
      <c r="G2351" s="110">
        <v>104086</v>
      </c>
      <c r="I2351" s="110">
        <v>104086</v>
      </c>
      <c r="J2351" s="110">
        <v>104086</v>
      </c>
      <c r="K2351" s="110">
        <v>104086</v>
      </c>
      <c r="L2351" s="110">
        <v>104086</v>
      </c>
    </row>
    <row r="2352" spans="1:12" x14ac:dyDescent="0.2">
      <c r="A2352" t="s">
        <v>57</v>
      </c>
      <c r="B2352" t="s">
        <v>108</v>
      </c>
      <c r="C2352" t="s">
        <v>192</v>
      </c>
      <c r="D2352" s="110">
        <v>122137</v>
      </c>
      <c r="E2352" s="110">
        <v>122137</v>
      </c>
      <c r="F2352" s="110">
        <v>122137</v>
      </c>
      <c r="I2352" s="110">
        <v>122137</v>
      </c>
      <c r="J2352" s="110">
        <v>122137</v>
      </c>
      <c r="K2352" s="110">
        <v>122137</v>
      </c>
    </row>
    <row r="2353" spans="1:12" x14ac:dyDescent="0.2">
      <c r="A2353" t="s">
        <v>57</v>
      </c>
      <c r="B2353" t="s">
        <v>108</v>
      </c>
      <c r="C2353" t="s">
        <v>193</v>
      </c>
      <c r="D2353" s="110">
        <v>116644</v>
      </c>
      <c r="E2353" s="110">
        <v>116644</v>
      </c>
      <c r="I2353" s="110">
        <v>116644</v>
      </c>
      <c r="J2353" s="110">
        <v>116644</v>
      </c>
    </row>
    <row r="2354" spans="1:12" x14ac:dyDescent="0.2">
      <c r="A2354" t="s">
        <v>57</v>
      </c>
      <c r="B2354" t="s">
        <v>108</v>
      </c>
      <c r="C2354" t="s">
        <v>194</v>
      </c>
      <c r="D2354" s="110">
        <v>110332</v>
      </c>
      <c r="I2354" s="110">
        <v>110332</v>
      </c>
    </row>
    <row r="2355" spans="1:12" x14ac:dyDescent="0.2">
      <c r="A2355" t="s">
        <v>57</v>
      </c>
      <c r="B2355" t="s">
        <v>70</v>
      </c>
      <c r="C2355" t="s">
        <v>191</v>
      </c>
      <c r="D2355" s="110">
        <v>211130</v>
      </c>
      <c r="E2355" s="110">
        <v>211130</v>
      </c>
      <c r="F2355" s="110">
        <v>211130</v>
      </c>
      <c r="G2355" s="110">
        <v>211130</v>
      </c>
      <c r="I2355" s="110">
        <v>211130</v>
      </c>
      <c r="J2355" s="110">
        <v>211130</v>
      </c>
      <c r="K2355" s="110">
        <v>211130</v>
      </c>
      <c r="L2355" s="110">
        <v>211130</v>
      </c>
    </row>
    <row r="2356" spans="1:12" x14ac:dyDescent="0.2">
      <c r="A2356" t="s">
        <v>57</v>
      </c>
      <c r="B2356" t="s">
        <v>70</v>
      </c>
      <c r="C2356" t="s">
        <v>192</v>
      </c>
      <c r="D2356" s="110">
        <v>218724.5</v>
      </c>
      <c r="E2356" s="110">
        <v>218724.5</v>
      </c>
      <c r="F2356" s="110">
        <v>218724.5</v>
      </c>
      <c r="I2356" s="110">
        <v>218724.5</v>
      </c>
      <c r="J2356" s="110">
        <v>218724.5</v>
      </c>
      <c r="K2356" s="110">
        <v>218724.5</v>
      </c>
    </row>
    <row r="2357" spans="1:12" x14ac:dyDescent="0.2">
      <c r="A2357" t="s">
        <v>57</v>
      </c>
      <c r="B2357" t="s">
        <v>70</v>
      </c>
      <c r="C2357" t="s">
        <v>193</v>
      </c>
      <c r="D2357" s="110">
        <v>229498.5</v>
      </c>
      <c r="E2357" s="110">
        <v>229498.5</v>
      </c>
      <c r="I2357" s="110">
        <v>229498.5</v>
      </c>
      <c r="J2357" s="110">
        <v>229498.5</v>
      </c>
    </row>
    <row r="2358" spans="1:12" x14ac:dyDescent="0.2">
      <c r="A2358" t="s">
        <v>57</v>
      </c>
      <c r="B2358" t="s">
        <v>70</v>
      </c>
      <c r="C2358" t="s">
        <v>194</v>
      </c>
      <c r="D2358" s="110">
        <v>217139</v>
      </c>
      <c r="I2358" s="110">
        <v>217139</v>
      </c>
    </row>
    <row r="2359" spans="1:12" x14ac:dyDescent="0.2">
      <c r="A2359" t="s">
        <v>57</v>
      </c>
      <c r="B2359" t="s">
        <v>110</v>
      </c>
      <c r="C2359" t="s">
        <v>191</v>
      </c>
      <c r="D2359" s="110">
        <v>2363168</v>
      </c>
      <c r="E2359" s="110">
        <v>2569137.2799999998</v>
      </c>
      <c r="F2359" s="110">
        <v>2788151.42</v>
      </c>
      <c r="G2359" s="110">
        <v>2794141.42</v>
      </c>
      <c r="I2359" s="110">
        <v>724678.8</v>
      </c>
      <c r="J2359" s="110">
        <v>1180605.27</v>
      </c>
      <c r="K2359" s="110">
        <v>1296407.1499999999</v>
      </c>
      <c r="L2359" s="110">
        <v>1385230.3</v>
      </c>
    </row>
    <row r="2360" spans="1:12" x14ac:dyDescent="0.2">
      <c r="A2360" t="s">
        <v>57</v>
      </c>
      <c r="B2360" t="s">
        <v>110</v>
      </c>
      <c r="C2360" t="s">
        <v>192</v>
      </c>
      <c r="D2360" s="110">
        <v>2533148</v>
      </c>
      <c r="E2360" s="110">
        <v>2969613.13</v>
      </c>
      <c r="F2360" s="110">
        <v>2974340.05</v>
      </c>
      <c r="I2360" s="110">
        <v>773198.48</v>
      </c>
      <c r="J2360" s="110">
        <v>1209663.6100000001</v>
      </c>
      <c r="K2360" s="110">
        <v>1318370.43</v>
      </c>
    </row>
    <row r="2361" spans="1:12" x14ac:dyDescent="0.2">
      <c r="A2361" t="s">
        <v>57</v>
      </c>
      <c r="B2361" t="s">
        <v>110</v>
      </c>
      <c r="C2361" t="s">
        <v>193</v>
      </c>
      <c r="D2361" s="110">
        <v>2314805</v>
      </c>
      <c r="E2361" s="110">
        <v>2479120.5</v>
      </c>
      <c r="I2361" s="110">
        <v>687561.78</v>
      </c>
      <c r="J2361" s="110">
        <v>1102242.99</v>
      </c>
    </row>
    <row r="2362" spans="1:12" x14ac:dyDescent="0.2">
      <c r="A2362" t="s">
        <v>57</v>
      </c>
      <c r="B2362" t="s">
        <v>110</v>
      </c>
      <c r="C2362" t="s">
        <v>194</v>
      </c>
      <c r="D2362" s="110">
        <v>2482931.2000000002</v>
      </c>
      <c r="I2362" s="110">
        <v>682796.03</v>
      </c>
    </row>
    <row r="2363" spans="1:12" x14ac:dyDescent="0.2">
      <c r="A2363" t="s">
        <v>60</v>
      </c>
      <c r="B2363" t="s">
        <v>104</v>
      </c>
      <c r="C2363" t="s">
        <v>191</v>
      </c>
      <c r="D2363" s="110">
        <v>464656.37</v>
      </c>
      <c r="E2363" s="110">
        <v>464656.37</v>
      </c>
      <c r="F2363" s="110">
        <v>464456.37</v>
      </c>
      <c r="G2363" s="110">
        <v>464006.37</v>
      </c>
      <c r="I2363" s="110">
        <v>15214.47</v>
      </c>
      <c r="J2363" s="110">
        <v>23509.43</v>
      </c>
      <c r="K2363" s="110">
        <v>36588.89</v>
      </c>
      <c r="L2363" s="110">
        <v>46976.2</v>
      </c>
    </row>
    <row r="2364" spans="1:12" x14ac:dyDescent="0.2">
      <c r="A2364" t="s">
        <v>60</v>
      </c>
      <c r="B2364" t="s">
        <v>104</v>
      </c>
      <c r="C2364" t="s">
        <v>192</v>
      </c>
      <c r="D2364" s="110">
        <v>441199.67</v>
      </c>
      <c r="E2364" s="110">
        <v>440099.67</v>
      </c>
      <c r="F2364" s="110">
        <v>439709.67</v>
      </c>
      <c r="I2364" s="110">
        <v>13381.25</v>
      </c>
      <c r="J2364" s="110">
        <v>21374.01</v>
      </c>
      <c r="K2364" s="110">
        <v>25956.81</v>
      </c>
    </row>
    <row r="2365" spans="1:12" x14ac:dyDescent="0.2">
      <c r="A2365" t="s">
        <v>60</v>
      </c>
      <c r="B2365" t="s">
        <v>104</v>
      </c>
      <c r="C2365" t="s">
        <v>193</v>
      </c>
      <c r="D2365" s="110">
        <v>376702.14</v>
      </c>
      <c r="E2365" s="110">
        <v>374502.14</v>
      </c>
      <c r="I2365" s="110">
        <v>16293.76</v>
      </c>
      <c r="J2365" s="110">
        <v>21009.99</v>
      </c>
    </row>
    <row r="2366" spans="1:12" x14ac:dyDescent="0.2">
      <c r="A2366" t="s">
        <v>60</v>
      </c>
      <c r="B2366" t="s">
        <v>104</v>
      </c>
      <c r="C2366" t="s">
        <v>194</v>
      </c>
      <c r="D2366" s="110">
        <v>598233.86</v>
      </c>
      <c r="I2366" s="110">
        <v>15869.92</v>
      </c>
    </row>
    <row r="2367" spans="1:12" x14ac:dyDescent="0.2">
      <c r="A2367" t="s">
        <v>60</v>
      </c>
      <c r="B2367" t="s">
        <v>140</v>
      </c>
      <c r="C2367" t="s">
        <v>191</v>
      </c>
      <c r="D2367" s="110">
        <v>53984</v>
      </c>
      <c r="E2367" s="110">
        <v>53984</v>
      </c>
      <c r="F2367" s="110">
        <v>53984</v>
      </c>
      <c r="G2367" s="110">
        <v>53984</v>
      </c>
    </row>
    <row r="2368" spans="1:12" x14ac:dyDescent="0.2">
      <c r="A2368" t="s">
        <v>60</v>
      </c>
      <c r="B2368" t="s">
        <v>140</v>
      </c>
      <c r="C2368" t="s">
        <v>192</v>
      </c>
      <c r="D2368" s="110">
        <v>63837</v>
      </c>
      <c r="E2368" s="110">
        <v>63837</v>
      </c>
      <c r="F2368" s="110">
        <v>63837</v>
      </c>
    </row>
    <row r="2369" spans="1:12" x14ac:dyDescent="0.2">
      <c r="A2369" t="s">
        <v>60</v>
      </c>
      <c r="B2369" t="s">
        <v>140</v>
      </c>
      <c r="C2369" t="s">
        <v>193</v>
      </c>
      <c r="D2369" s="110">
        <v>82250.899999999994</v>
      </c>
      <c r="E2369" s="110">
        <v>82250.899999999994</v>
      </c>
    </row>
    <row r="2370" spans="1:12" x14ac:dyDescent="0.2">
      <c r="A2370" t="s">
        <v>60</v>
      </c>
      <c r="B2370" t="s">
        <v>140</v>
      </c>
      <c r="C2370" t="s">
        <v>194</v>
      </c>
      <c r="D2370" s="110">
        <v>216432</v>
      </c>
    </row>
    <row r="2371" spans="1:12" x14ac:dyDescent="0.2">
      <c r="A2371" t="s">
        <v>60</v>
      </c>
      <c r="B2371" t="s">
        <v>105</v>
      </c>
      <c r="C2371" t="s">
        <v>191</v>
      </c>
      <c r="D2371" s="110">
        <v>198423.5</v>
      </c>
      <c r="E2371" s="110">
        <v>198423.5</v>
      </c>
      <c r="F2371" s="110">
        <v>198423.5</v>
      </c>
      <c r="G2371" s="110">
        <v>198423.5</v>
      </c>
      <c r="I2371" s="110">
        <v>32302.5</v>
      </c>
      <c r="J2371" s="110">
        <v>61560.73</v>
      </c>
      <c r="K2371" s="110">
        <v>80206.23</v>
      </c>
      <c r="L2371" s="110">
        <v>85750.23</v>
      </c>
    </row>
    <row r="2372" spans="1:12" x14ac:dyDescent="0.2">
      <c r="A2372" t="s">
        <v>60</v>
      </c>
      <c r="B2372" t="s">
        <v>105</v>
      </c>
      <c r="C2372" t="s">
        <v>192</v>
      </c>
      <c r="D2372" s="110">
        <v>185134.42</v>
      </c>
      <c r="E2372" s="110">
        <v>184509.42</v>
      </c>
      <c r="F2372" s="110">
        <v>183359.92</v>
      </c>
      <c r="I2372" s="110">
        <v>36484.35</v>
      </c>
      <c r="J2372" s="110">
        <v>59907.83</v>
      </c>
      <c r="K2372" s="110">
        <v>72554.34</v>
      </c>
    </row>
    <row r="2373" spans="1:12" x14ac:dyDescent="0.2">
      <c r="A2373" t="s">
        <v>60</v>
      </c>
      <c r="B2373" t="s">
        <v>105</v>
      </c>
      <c r="C2373" t="s">
        <v>193</v>
      </c>
      <c r="D2373" s="110">
        <v>156351.62</v>
      </c>
      <c r="E2373" s="110">
        <v>155476.62</v>
      </c>
      <c r="I2373" s="110">
        <v>23850.3</v>
      </c>
      <c r="J2373" s="110">
        <v>41406.35</v>
      </c>
    </row>
    <row r="2374" spans="1:12" x14ac:dyDescent="0.2">
      <c r="A2374" t="s">
        <v>60</v>
      </c>
      <c r="B2374" t="s">
        <v>105</v>
      </c>
      <c r="C2374" t="s">
        <v>194</v>
      </c>
      <c r="D2374" s="110">
        <v>189344.2</v>
      </c>
      <c r="I2374" s="110">
        <v>29875.39</v>
      </c>
    </row>
    <row r="2375" spans="1:12" x14ac:dyDescent="0.2">
      <c r="A2375" t="s">
        <v>60</v>
      </c>
      <c r="B2375" t="s">
        <v>111</v>
      </c>
      <c r="C2375" t="s">
        <v>191</v>
      </c>
      <c r="D2375" s="110">
        <v>4034.5</v>
      </c>
      <c r="E2375" s="110">
        <v>4034.5</v>
      </c>
      <c r="F2375" s="110">
        <v>4034.5</v>
      </c>
      <c r="G2375" s="110">
        <v>4009.5</v>
      </c>
      <c r="I2375" s="110">
        <v>730.5</v>
      </c>
      <c r="J2375" s="110">
        <v>1784.5</v>
      </c>
      <c r="K2375" s="110">
        <v>2467.5</v>
      </c>
      <c r="L2375" s="110">
        <v>2630.5</v>
      </c>
    </row>
    <row r="2376" spans="1:12" x14ac:dyDescent="0.2">
      <c r="A2376" t="s">
        <v>60</v>
      </c>
      <c r="B2376" t="s">
        <v>111</v>
      </c>
      <c r="C2376" t="s">
        <v>192</v>
      </c>
      <c r="D2376" s="110">
        <v>5715</v>
      </c>
      <c r="E2376" s="110">
        <v>5715</v>
      </c>
      <c r="F2376" s="110">
        <v>5315</v>
      </c>
      <c r="I2376" s="110">
        <v>963</v>
      </c>
      <c r="J2376" s="110">
        <v>2971</v>
      </c>
      <c r="K2376" s="110">
        <v>3046</v>
      </c>
    </row>
    <row r="2377" spans="1:12" x14ac:dyDescent="0.2">
      <c r="A2377" t="s">
        <v>60</v>
      </c>
      <c r="B2377" t="s">
        <v>111</v>
      </c>
      <c r="C2377" t="s">
        <v>193</v>
      </c>
      <c r="D2377" s="110">
        <v>1874</v>
      </c>
      <c r="E2377" s="110">
        <v>1824</v>
      </c>
      <c r="I2377" s="110">
        <v>244</v>
      </c>
      <c r="J2377" s="110">
        <v>324</v>
      </c>
    </row>
    <row r="2378" spans="1:12" x14ac:dyDescent="0.2">
      <c r="A2378" t="s">
        <v>60</v>
      </c>
      <c r="B2378" t="s">
        <v>111</v>
      </c>
      <c r="C2378" t="s">
        <v>194</v>
      </c>
      <c r="D2378" s="110">
        <v>2541.5</v>
      </c>
      <c r="I2378" s="110">
        <v>847</v>
      </c>
    </row>
    <row r="2379" spans="1:12" x14ac:dyDescent="0.2">
      <c r="A2379" t="s">
        <v>60</v>
      </c>
      <c r="B2379" t="s">
        <v>109</v>
      </c>
      <c r="C2379" t="s">
        <v>191</v>
      </c>
      <c r="D2379" s="110">
        <v>180127.94</v>
      </c>
      <c r="E2379" s="110">
        <v>180127.94</v>
      </c>
      <c r="F2379" s="110">
        <v>180127.94</v>
      </c>
      <c r="G2379" s="110">
        <v>180127.94</v>
      </c>
      <c r="I2379" s="110">
        <v>48982.879999999997</v>
      </c>
      <c r="J2379" s="110">
        <v>85534.49</v>
      </c>
      <c r="K2379" s="110">
        <v>103601.96</v>
      </c>
      <c r="L2379" s="110">
        <v>109974.96</v>
      </c>
    </row>
    <row r="2380" spans="1:12" x14ac:dyDescent="0.2">
      <c r="A2380" t="s">
        <v>60</v>
      </c>
      <c r="B2380" t="s">
        <v>109</v>
      </c>
      <c r="C2380" t="s">
        <v>192</v>
      </c>
      <c r="D2380" s="110">
        <v>211586.44</v>
      </c>
      <c r="E2380" s="110">
        <v>211261.44</v>
      </c>
      <c r="F2380" s="110">
        <v>211236.44</v>
      </c>
      <c r="I2380" s="110">
        <v>78791.039999999994</v>
      </c>
      <c r="J2380" s="110">
        <v>120512.59</v>
      </c>
      <c r="K2380" s="110">
        <v>132693.84</v>
      </c>
    </row>
    <row r="2381" spans="1:12" x14ac:dyDescent="0.2">
      <c r="A2381" t="s">
        <v>60</v>
      </c>
      <c r="B2381" t="s">
        <v>109</v>
      </c>
      <c r="C2381" t="s">
        <v>193</v>
      </c>
      <c r="D2381" s="110">
        <v>193922.44</v>
      </c>
      <c r="E2381" s="110">
        <v>193797.44</v>
      </c>
      <c r="I2381" s="110">
        <v>69786.86</v>
      </c>
      <c r="J2381" s="110">
        <v>98830.56</v>
      </c>
    </row>
    <row r="2382" spans="1:12" x14ac:dyDescent="0.2">
      <c r="A2382" t="s">
        <v>60</v>
      </c>
      <c r="B2382" t="s">
        <v>109</v>
      </c>
      <c r="C2382" t="s">
        <v>194</v>
      </c>
      <c r="D2382" s="110">
        <v>223322.72</v>
      </c>
      <c r="I2382" s="110">
        <v>62586.04</v>
      </c>
    </row>
    <row r="2383" spans="1:12" x14ac:dyDescent="0.2">
      <c r="A2383" t="s">
        <v>60</v>
      </c>
      <c r="B2383" t="s">
        <v>106</v>
      </c>
      <c r="C2383" t="s">
        <v>191</v>
      </c>
      <c r="D2383" s="110">
        <v>50676.6</v>
      </c>
      <c r="E2383" s="110">
        <v>50676.6</v>
      </c>
      <c r="F2383" s="110">
        <v>50395.6</v>
      </c>
      <c r="G2383" s="110">
        <v>50395.6</v>
      </c>
      <c r="I2383" s="110">
        <v>47554.6</v>
      </c>
      <c r="J2383" s="110">
        <v>49424.6</v>
      </c>
      <c r="K2383" s="110">
        <v>49424.6</v>
      </c>
      <c r="L2383" s="110">
        <v>49424.6</v>
      </c>
    </row>
    <row r="2384" spans="1:12" x14ac:dyDescent="0.2">
      <c r="A2384" t="s">
        <v>60</v>
      </c>
      <c r="B2384" t="s">
        <v>106</v>
      </c>
      <c r="C2384" t="s">
        <v>192</v>
      </c>
      <c r="D2384" s="110">
        <v>63878.5</v>
      </c>
      <c r="E2384" s="110">
        <v>63878.5</v>
      </c>
      <c r="F2384" s="110">
        <v>63878.5</v>
      </c>
      <c r="I2384" s="110">
        <v>59100</v>
      </c>
      <c r="J2384" s="110">
        <v>62880</v>
      </c>
      <c r="K2384" s="110">
        <v>62930</v>
      </c>
    </row>
    <row r="2385" spans="1:12" x14ac:dyDescent="0.2">
      <c r="A2385" t="s">
        <v>60</v>
      </c>
      <c r="B2385" t="s">
        <v>106</v>
      </c>
      <c r="C2385" t="s">
        <v>193</v>
      </c>
      <c r="D2385" s="110">
        <v>76277.39</v>
      </c>
      <c r="E2385" s="110">
        <v>75877.39</v>
      </c>
      <c r="I2385" s="110">
        <v>72079.89</v>
      </c>
      <c r="J2385" s="110">
        <v>75667.39</v>
      </c>
    </row>
    <row r="2386" spans="1:12" x14ac:dyDescent="0.2">
      <c r="A2386" t="s">
        <v>60</v>
      </c>
      <c r="B2386" t="s">
        <v>106</v>
      </c>
      <c r="C2386" t="s">
        <v>194</v>
      </c>
      <c r="D2386" s="110">
        <v>69583.199999999997</v>
      </c>
      <c r="I2386" s="110">
        <v>66659.7</v>
      </c>
    </row>
    <row r="2387" spans="1:12" x14ac:dyDescent="0.2">
      <c r="A2387" t="s">
        <v>60</v>
      </c>
      <c r="B2387" t="s">
        <v>107</v>
      </c>
      <c r="C2387" t="s">
        <v>191</v>
      </c>
      <c r="D2387" s="110">
        <v>54940.72</v>
      </c>
      <c r="E2387" s="110">
        <v>54940.72</v>
      </c>
      <c r="F2387" s="110">
        <v>54940.72</v>
      </c>
      <c r="G2387" s="110">
        <v>54940.72</v>
      </c>
      <c r="I2387" s="110">
        <v>52915.72</v>
      </c>
      <c r="J2387" s="110">
        <v>54625.72</v>
      </c>
      <c r="K2387" s="110">
        <v>54795.72</v>
      </c>
      <c r="L2387" s="110">
        <v>54795.72</v>
      </c>
    </row>
    <row r="2388" spans="1:12" x14ac:dyDescent="0.2">
      <c r="A2388" t="s">
        <v>60</v>
      </c>
      <c r="B2388" t="s">
        <v>107</v>
      </c>
      <c r="C2388" t="s">
        <v>192</v>
      </c>
      <c r="D2388" s="110">
        <v>51087.92</v>
      </c>
      <c r="E2388" s="110">
        <v>51087.92</v>
      </c>
      <c r="F2388" s="110">
        <v>51087.92</v>
      </c>
      <c r="I2388" s="110">
        <v>49557.919999999998</v>
      </c>
      <c r="J2388" s="110">
        <v>50702.92</v>
      </c>
      <c r="K2388" s="110">
        <v>50702.92</v>
      </c>
    </row>
    <row r="2389" spans="1:12" x14ac:dyDescent="0.2">
      <c r="A2389" t="s">
        <v>60</v>
      </c>
      <c r="B2389" t="s">
        <v>107</v>
      </c>
      <c r="C2389" t="s">
        <v>193</v>
      </c>
      <c r="D2389" s="110">
        <v>62390.46</v>
      </c>
      <c r="E2389" s="110">
        <v>62390.46</v>
      </c>
      <c r="I2389" s="110">
        <v>61602.46</v>
      </c>
      <c r="J2389" s="110">
        <v>62390.46</v>
      </c>
    </row>
    <row r="2390" spans="1:12" x14ac:dyDescent="0.2">
      <c r="A2390" t="s">
        <v>60</v>
      </c>
      <c r="B2390" t="s">
        <v>107</v>
      </c>
      <c r="C2390" t="s">
        <v>194</v>
      </c>
      <c r="D2390" s="110">
        <v>57731.28</v>
      </c>
      <c r="I2390" s="110">
        <v>56376.28</v>
      </c>
    </row>
    <row r="2391" spans="1:12" x14ac:dyDescent="0.2">
      <c r="A2391" t="s">
        <v>60</v>
      </c>
      <c r="B2391" t="s">
        <v>108</v>
      </c>
      <c r="C2391" t="s">
        <v>191</v>
      </c>
      <c r="D2391" s="110">
        <v>46908.95</v>
      </c>
      <c r="E2391" s="110">
        <v>46908.95</v>
      </c>
      <c r="F2391" s="110">
        <v>46908.95</v>
      </c>
      <c r="G2391" s="110">
        <v>46908.95</v>
      </c>
      <c r="I2391" s="110">
        <v>45722.95</v>
      </c>
      <c r="J2391" s="110">
        <v>46808.95</v>
      </c>
      <c r="K2391" s="110">
        <v>46808.95</v>
      </c>
      <c r="L2391" s="110">
        <v>46808.95</v>
      </c>
    </row>
    <row r="2392" spans="1:12" x14ac:dyDescent="0.2">
      <c r="A2392" t="s">
        <v>60</v>
      </c>
      <c r="B2392" t="s">
        <v>108</v>
      </c>
      <c r="C2392" t="s">
        <v>192</v>
      </c>
      <c r="D2392" s="110">
        <v>64817</v>
      </c>
      <c r="E2392" s="110">
        <v>64417</v>
      </c>
      <c r="F2392" s="110">
        <v>64417</v>
      </c>
      <c r="I2392" s="110">
        <v>62835</v>
      </c>
      <c r="J2392" s="110">
        <v>64327</v>
      </c>
      <c r="K2392" s="110">
        <v>64367</v>
      </c>
    </row>
    <row r="2393" spans="1:12" x14ac:dyDescent="0.2">
      <c r="A2393" t="s">
        <v>60</v>
      </c>
      <c r="B2393" t="s">
        <v>108</v>
      </c>
      <c r="C2393" t="s">
        <v>193</v>
      </c>
      <c r="D2393" s="110">
        <v>54266</v>
      </c>
      <c r="E2393" s="110">
        <v>54266</v>
      </c>
      <c r="I2393" s="110">
        <v>52765</v>
      </c>
      <c r="J2393" s="110">
        <v>53276</v>
      </c>
    </row>
    <row r="2394" spans="1:12" x14ac:dyDescent="0.2">
      <c r="A2394" t="s">
        <v>60</v>
      </c>
      <c r="B2394" t="s">
        <v>108</v>
      </c>
      <c r="C2394" t="s">
        <v>194</v>
      </c>
      <c r="D2394" s="110">
        <v>54510.45</v>
      </c>
      <c r="I2394" s="110">
        <v>53266.45</v>
      </c>
    </row>
    <row r="2395" spans="1:12" x14ac:dyDescent="0.2">
      <c r="A2395" t="s">
        <v>60</v>
      </c>
      <c r="B2395" t="s">
        <v>70</v>
      </c>
      <c r="C2395" t="s">
        <v>191</v>
      </c>
      <c r="D2395" s="110">
        <v>22578.45</v>
      </c>
      <c r="E2395" s="110">
        <v>22578.45</v>
      </c>
      <c r="F2395" s="110">
        <v>22578.45</v>
      </c>
      <c r="G2395" s="110">
        <v>22578.45</v>
      </c>
      <c r="I2395" s="110">
        <v>20454.45</v>
      </c>
      <c r="J2395" s="110">
        <v>20938.95</v>
      </c>
      <c r="K2395" s="110">
        <v>21249.45</v>
      </c>
      <c r="L2395" s="110">
        <v>21459.95</v>
      </c>
    </row>
    <row r="2396" spans="1:12" x14ac:dyDescent="0.2">
      <c r="A2396" t="s">
        <v>60</v>
      </c>
      <c r="B2396" t="s">
        <v>70</v>
      </c>
      <c r="C2396" t="s">
        <v>192</v>
      </c>
      <c r="D2396" s="110">
        <v>33627.35</v>
      </c>
      <c r="E2396" s="110">
        <v>33179.85</v>
      </c>
      <c r="F2396" s="110">
        <v>33179.85</v>
      </c>
      <c r="I2396" s="110">
        <v>31635.85</v>
      </c>
      <c r="J2396" s="110">
        <v>32016.65</v>
      </c>
      <c r="K2396" s="110">
        <v>32016.65</v>
      </c>
    </row>
    <row r="2397" spans="1:12" x14ac:dyDescent="0.2">
      <c r="A2397" t="s">
        <v>60</v>
      </c>
      <c r="B2397" t="s">
        <v>70</v>
      </c>
      <c r="C2397" t="s">
        <v>193</v>
      </c>
      <c r="D2397" s="110">
        <v>34634.449999999997</v>
      </c>
      <c r="E2397" s="110">
        <v>33839.449999999997</v>
      </c>
      <c r="I2397" s="110">
        <v>31436.95</v>
      </c>
      <c r="J2397" s="110">
        <v>32597.45</v>
      </c>
    </row>
    <row r="2398" spans="1:12" x14ac:dyDescent="0.2">
      <c r="A2398" t="s">
        <v>60</v>
      </c>
      <c r="B2398" t="s">
        <v>70</v>
      </c>
      <c r="C2398" t="s">
        <v>194</v>
      </c>
      <c r="D2398" s="110">
        <v>33368.400000000001</v>
      </c>
      <c r="I2398" s="110">
        <v>31792.95</v>
      </c>
    </row>
    <row r="2399" spans="1:12" x14ac:dyDescent="0.2">
      <c r="A2399" t="s">
        <v>60</v>
      </c>
      <c r="B2399" t="s">
        <v>110</v>
      </c>
      <c r="C2399" t="s">
        <v>191</v>
      </c>
      <c r="D2399" s="110">
        <v>545058.72</v>
      </c>
      <c r="E2399" s="110">
        <v>519777.22</v>
      </c>
      <c r="F2399" s="110">
        <v>518175.22</v>
      </c>
      <c r="G2399" s="110">
        <v>517760.22</v>
      </c>
      <c r="I2399" s="110">
        <v>249356.72</v>
      </c>
      <c r="J2399" s="110">
        <v>444299.72</v>
      </c>
      <c r="K2399" s="110">
        <v>467298.72</v>
      </c>
      <c r="L2399" s="110">
        <v>476910.72</v>
      </c>
    </row>
    <row r="2400" spans="1:12" x14ac:dyDescent="0.2">
      <c r="A2400" t="s">
        <v>60</v>
      </c>
      <c r="B2400" t="s">
        <v>110</v>
      </c>
      <c r="C2400" t="s">
        <v>192</v>
      </c>
      <c r="D2400" s="110">
        <v>557772.25</v>
      </c>
      <c r="E2400" s="110">
        <v>548062</v>
      </c>
      <c r="F2400" s="110">
        <v>547391</v>
      </c>
      <c r="I2400" s="110">
        <v>285777.75</v>
      </c>
      <c r="J2400" s="110">
        <v>470987.5</v>
      </c>
      <c r="K2400" s="110">
        <v>501155.5</v>
      </c>
    </row>
    <row r="2401" spans="1:12" x14ac:dyDescent="0.2">
      <c r="A2401" t="s">
        <v>60</v>
      </c>
      <c r="B2401" t="s">
        <v>110</v>
      </c>
      <c r="C2401" t="s">
        <v>193</v>
      </c>
      <c r="D2401" s="110">
        <v>621132.02</v>
      </c>
      <c r="E2401" s="110">
        <v>600463.52</v>
      </c>
      <c r="I2401" s="110">
        <v>279048.52</v>
      </c>
      <c r="J2401" s="110">
        <v>508136.02</v>
      </c>
    </row>
    <row r="2402" spans="1:12" x14ac:dyDescent="0.2">
      <c r="A2402" t="s">
        <v>60</v>
      </c>
      <c r="B2402" t="s">
        <v>110</v>
      </c>
      <c r="C2402" t="s">
        <v>194</v>
      </c>
      <c r="D2402" s="110">
        <v>605673.27</v>
      </c>
      <c r="I2402" s="110">
        <v>270190.25</v>
      </c>
    </row>
    <row r="2403" spans="1:12" x14ac:dyDescent="0.2">
      <c r="A2403" t="s">
        <v>61</v>
      </c>
      <c r="B2403" t="s">
        <v>104</v>
      </c>
      <c r="C2403" t="s">
        <v>191</v>
      </c>
      <c r="D2403" s="110">
        <v>191911.46</v>
      </c>
      <c r="E2403" s="110">
        <v>191911.46</v>
      </c>
      <c r="F2403" s="110">
        <v>191911.46</v>
      </c>
      <c r="G2403" s="110">
        <v>190948.46</v>
      </c>
      <c r="I2403" s="110">
        <v>4913.7700000000004</v>
      </c>
      <c r="J2403" s="110">
        <v>11262.42</v>
      </c>
      <c r="K2403" s="110">
        <v>17022.79</v>
      </c>
      <c r="L2403" s="110">
        <v>21389.1</v>
      </c>
    </row>
    <row r="2404" spans="1:12" x14ac:dyDescent="0.2">
      <c r="A2404" t="s">
        <v>61</v>
      </c>
      <c r="B2404" t="s">
        <v>104</v>
      </c>
      <c r="C2404" t="s">
        <v>192</v>
      </c>
      <c r="D2404" s="110">
        <v>531088</v>
      </c>
      <c r="E2404" s="110">
        <v>531088</v>
      </c>
      <c r="F2404" s="110">
        <v>531088</v>
      </c>
      <c r="I2404" s="110">
        <v>6585.49</v>
      </c>
      <c r="J2404" s="110">
        <v>13291.03</v>
      </c>
      <c r="K2404" s="110">
        <v>16725.66</v>
      </c>
    </row>
    <row r="2405" spans="1:12" x14ac:dyDescent="0.2">
      <c r="A2405" t="s">
        <v>61</v>
      </c>
      <c r="B2405" t="s">
        <v>104</v>
      </c>
      <c r="C2405" t="s">
        <v>193</v>
      </c>
      <c r="D2405" s="110">
        <v>205639</v>
      </c>
      <c r="E2405" s="110">
        <v>205639</v>
      </c>
      <c r="I2405" s="110">
        <v>2568.81</v>
      </c>
      <c r="J2405" s="110">
        <v>9363.84</v>
      </c>
    </row>
    <row r="2406" spans="1:12" x14ac:dyDescent="0.2">
      <c r="A2406" t="s">
        <v>61</v>
      </c>
      <c r="B2406" t="s">
        <v>104</v>
      </c>
      <c r="C2406" t="s">
        <v>194</v>
      </c>
      <c r="D2406" s="110">
        <v>249636.78</v>
      </c>
      <c r="I2406" s="110">
        <v>3150.44</v>
      </c>
    </row>
    <row r="2407" spans="1:12" x14ac:dyDescent="0.2">
      <c r="A2407" t="s">
        <v>61</v>
      </c>
      <c r="B2407" t="s">
        <v>140</v>
      </c>
      <c r="C2407" t="s">
        <v>191</v>
      </c>
      <c r="D2407" s="110">
        <v>191911.46</v>
      </c>
      <c r="E2407" s="110">
        <v>191911.46</v>
      </c>
      <c r="F2407" s="110">
        <v>191911.46</v>
      </c>
      <c r="G2407" s="110">
        <v>191911.46</v>
      </c>
      <c r="I2407" s="110">
        <v>4913.7700000000004</v>
      </c>
      <c r="J2407" s="110">
        <v>11262.42</v>
      </c>
      <c r="K2407" s="110">
        <v>17022.79</v>
      </c>
      <c r="L2407" s="110">
        <v>21389.1</v>
      </c>
    </row>
    <row r="2408" spans="1:12" x14ac:dyDescent="0.2">
      <c r="A2408" t="s">
        <v>61</v>
      </c>
      <c r="B2408" t="s">
        <v>140</v>
      </c>
      <c r="C2408" t="s">
        <v>192</v>
      </c>
      <c r="D2408" s="110">
        <v>281088</v>
      </c>
      <c r="E2408" s="110">
        <v>281088</v>
      </c>
      <c r="F2408" s="110">
        <v>281088</v>
      </c>
      <c r="I2408" s="110">
        <v>6585.49</v>
      </c>
      <c r="J2408" s="110">
        <v>13291.03</v>
      </c>
      <c r="K2408" s="110">
        <v>16725.66</v>
      </c>
    </row>
    <row r="2409" spans="1:12" x14ac:dyDescent="0.2">
      <c r="A2409" t="s">
        <v>61</v>
      </c>
      <c r="B2409" t="s">
        <v>140</v>
      </c>
      <c r="C2409" t="s">
        <v>193</v>
      </c>
      <c r="D2409" s="110">
        <v>205639</v>
      </c>
      <c r="E2409" s="110">
        <v>205639</v>
      </c>
      <c r="I2409" s="110">
        <v>2568.81</v>
      </c>
      <c r="J2409" s="110">
        <v>9363.84</v>
      </c>
    </row>
    <row r="2410" spans="1:12" x14ac:dyDescent="0.2">
      <c r="A2410" t="s">
        <v>61</v>
      </c>
      <c r="B2410" t="s">
        <v>140</v>
      </c>
      <c r="C2410" t="s">
        <v>194</v>
      </c>
      <c r="D2410" s="110">
        <v>249636.78</v>
      </c>
      <c r="I2410" s="110">
        <v>3150.44</v>
      </c>
    </row>
    <row r="2411" spans="1:12" x14ac:dyDescent="0.2">
      <c r="A2411" t="s">
        <v>61</v>
      </c>
      <c r="B2411" t="s">
        <v>105</v>
      </c>
      <c r="C2411" t="s">
        <v>191</v>
      </c>
      <c r="D2411" s="110">
        <v>37918</v>
      </c>
      <c r="E2411" s="110">
        <v>37793</v>
      </c>
      <c r="F2411" s="110">
        <v>37593</v>
      </c>
      <c r="G2411" s="110">
        <v>37593</v>
      </c>
      <c r="I2411" s="110">
        <v>5391.75</v>
      </c>
      <c r="J2411" s="110">
        <v>7360.55</v>
      </c>
      <c r="K2411" s="110">
        <v>12316.43</v>
      </c>
      <c r="L2411" s="110">
        <v>14183.81</v>
      </c>
    </row>
    <row r="2412" spans="1:12" x14ac:dyDescent="0.2">
      <c r="A2412" t="s">
        <v>61</v>
      </c>
      <c r="B2412" t="s">
        <v>105</v>
      </c>
      <c r="C2412" t="s">
        <v>192</v>
      </c>
      <c r="D2412" s="110">
        <v>35177</v>
      </c>
      <c r="E2412" s="110">
        <v>35177</v>
      </c>
      <c r="F2412" s="110">
        <v>34980.5</v>
      </c>
      <c r="I2412" s="110">
        <v>4038</v>
      </c>
      <c r="J2412" s="110">
        <v>6909.25</v>
      </c>
      <c r="K2412" s="110">
        <v>8601.25</v>
      </c>
    </row>
    <row r="2413" spans="1:12" x14ac:dyDescent="0.2">
      <c r="A2413" t="s">
        <v>61</v>
      </c>
      <c r="B2413" t="s">
        <v>105</v>
      </c>
      <c r="C2413" t="s">
        <v>193</v>
      </c>
      <c r="D2413" s="110">
        <v>42329</v>
      </c>
      <c r="E2413" s="110">
        <v>42329</v>
      </c>
      <c r="I2413" s="110">
        <v>9387</v>
      </c>
      <c r="J2413" s="110">
        <v>12770</v>
      </c>
    </row>
    <row r="2414" spans="1:12" x14ac:dyDescent="0.2">
      <c r="A2414" t="s">
        <v>61</v>
      </c>
      <c r="B2414" t="s">
        <v>105</v>
      </c>
      <c r="C2414" t="s">
        <v>194</v>
      </c>
      <c r="D2414" s="110">
        <v>41321.5</v>
      </c>
      <c r="I2414" s="110">
        <v>5173.99</v>
      </c>
    </row>
    <row r="2415" spans="1:12" x14ac:dyDescent="0.2">
      <c r="A2415" t="s">
        <v>61</v>
      </c>
      <c r="B2415" t="s">
        <v>111</v>
      </c>
      <c r="C2415" t="s">
        <v>191</v>
      </c>
      <c r="D2415" s="110">
        <v>2040</v>
      </c>
      <c r="E2415" s="110">
        <v>2040</v>
      </c>
      <c r="F2415" s="110">
        <v>2040</v>
      </c>
      <c r="G2415" s="110">
        <v>1852</v>
      </c>
      <c r="I2415" s="110">
        <v>376</v>
      </c>
      <c r="J2415" s="110">
        <v>1020</v>
      </c>
      <c r="K2415" s="110">
        <v>1020</v>
      </c>
      <c r="L2415" s="110">
        <v>1020</v>
      </c>
    </row>
    <row r="2416" spans="1:12" x14ac:dyDescent="0.2">
      <c r="A2416" t="s">
        <v>61</v>
      </c>
      <c r="B2416" t="s">
        <v>111</v>
      </c>
      <c r="C2416" t="s">
        <v>192</v>
      </c>
      <c r="D2416" s="110">
        <v>2012</v>
      </c>
      <c r="E2416" s="110">
        <v>2012</v>
      </c>
      <c r="F2416" s="110">
        <v>1824</v>
      </c>
      <c r="I2416" s="110">
        <v>268</v>
      </c>
      <c r="J2416" s="110">
        <v>456</v>
      </c>
      <c r="K2416" s="110">
        <v>456</v>
      </c>
    </row>
    <row r="2417" spans="1:12" x14ac:dyDescent="0.2">
      <c r="A2417" t="s">
        <v>61</v>
      </c>
      <c r="B2417" t="s">
        <v>111</v>
      </c>
      <c r="C2417" t="s">
        <v>193</v>
      </c>
      <c r="D2417" s="110">
        <v>2853</v>
      </c>
      <c r="E2417" s="110">
        <v>2853</v>
      </c>
      <c r="I2417" s="110">
        <v>392</v>
      </c>
      <c r="J2417" s="110">
        <v>641</v>
      </c>
    </row>
    <row r="2418" spans="1:12" x14ac:dyDescent="0.2">
      <c r="A2418" t="s">
        <v>61</v>
      </c>
      <c r="B2418" t="s">
        <v>111</v>
      </c>
      <c r="C2418" t="s">
        <v>194</v>
      </c>
      <c r="D2418" s="110">
        <v>3429</v>
      </c>
      <c r="I2418" s="110">
        <v>188</v>
      </c>
    </row>
    <row r="2419" spans="1:12" x14ac:dyDescent="0.2">
      <c r="A2419" t="s">
        <v>61</v>
      </c>
      <c r="B2419" t="s">
        <v>109</v>
      </c>
      <c r="C2419" t="s">
        <v>191</v>
      </c>
      <c r="D2419" s="110">
        <v>83549.75</v>
      </c>
      <c r="E2419" s="110">
        <v>82893.75</v>
      </c>
      <c r="F2419" s="110">
        <v>82317.75</v>
      </c>
      <c r="G2419" s="110">
        <v>77212.5</v>
      </c>
      <c r="I2419" s="110">
        <v>17040.25</v>
      </c>
      <c r="J2419" s="110">
        <v>26961.75</v>
      </c>
      <c r="K2419" s="110">
        <v>41386.57</v>
      </c>
      <c r="L2419" s="110">
        <v>47914.85</v>
      </c>
    </row>
    <row r="2420" spans="1:12" x14ac:dyDescent="0.2">
      <c r="A2420" t="s">
        <v>61</v>
      </c>
      <c r="B2420" t="s">
        <v>109</v>
      </c>
      <c r="C2420" t="s">
        <v>192</v>
      </c>
      <c r="D2420" s="110">
        <v>80332</v>
      </c>
      <c r="E2420" s="110">
        <v>79368</v>
      </c>
      <c r="F2420" s="110">
        <v>79368</v>
      </c>
      <c r="I2420" s="110">
        <v>18696.5</v>
      </c>
      <c r="J2420" s="110">
        <v>31936</v>
      </c>
      <c r="K2420" s="110">
        <v>47069.07</v>
      </c>
    </row>
    <row r="2421" spans="1:12" x14ac:dyDescent="0.2">
      <c r="A2421" t="s">
        <v>61</v>
      </c>
      <c r="B2421" t="s">
        <v>109</v>
      </c>
      <c r="C2421" t="s">
        <v>193</v>
      </c>
      <c r="D2421" s="110">
        <v>99125</v>
      </c>
      <c r="E2421" s="110">
        <v>99125</v>
      </c>
      <c r="I2421" s="110">
        <v>28804.560000000001</v>
      </c>
      <c r="J2421" s="110">
        <v>43463.38</v>
      </c>
    </row>
    <row r="2422" spans="1:12" x14ac:dyDescent="0.2">
      <c r="A2422" t="s">
        <v>61</v>
      </c>
      <c r="B2422" t="s">
        <v>109</v>
      </c>
      <c r="C2422" t="s">
        <v>194</v>
      </c>
      <c r="D2422" s="110">
        <v>100889.5</v>
      </c>
      <c r="I2422" s="110">
        <v>22846.5</v>
      </c>
    </row>
    <row r="2423" spans="1:12" x14ac:dyDescent="0.2">
      <c r="A2423" t="s">
        <v>61</v>
      </c>
      <c r="B2423" t="s">
        <v>106</v>
      </c>
      <c r="C2423" t="s">
        <v>191</v>
      </c>
      <c r="D2423" s="110">
        <v>29377</v>
      </c>
      <c r="E2423" s="110">
        <v>29377</v>
      </c>
      <c r="F2423" s="110">
        <v>29377</v>
      </c>
      <c r="G2423" s="110">
        <v>29377</v>
      </c>
      <c r="I2423" s="110">
        <v>26977</v>
      </c>
      <c r="J2423" s="110">
        <v>26977</v>
      </c>
      <c r="K2423" s="110">
        <v>26977</v>
      </c>
      <c r="L2423" s="110">
        <v>26977</v>
      </c>
    </row>
    <row r="2424" spans="1:12" x14ac:dyDescent="0.2">
      <c r="A2424" t="s">
        <v>61</v>
      </c>
      <c r="B2424" t="s">
        <v>106</v>
      </c>
      <c r="C2424" t="s">
        <v>192</v>
      </c>
      <c r="D2424" s="110">
        <v>29253.5</v>
      </c>
      <c r="E2424" s="110">
        <v>28853.5</v>
      </c>
      <c r="F2424" s="110">
        <v>28853.5</v>
      </c>
      <c r="I2424" s="110">
        <v>28453.5</v>
      </c>
      <c r="J2424" s="110">
        <v>28453.5</v>
      </c>
      <c r="K2424" s="110">
        <v>28453.5</v>
      </c>
    </row>
    <row r="2425" spans="1:12" x14ac:dyDescent="0.2">
      <c r="A2425" t="s">
        <v>61</v>
      </c>
      <c r="B2425" t="s">
        <v>106</v>
      </c>
      <c r="C2425" t="s">
        <v>193</v>
      </c>
      <c r="D2425" s="110">
        <v>43294</v>
      </c>
      <c r="E2425" s="110">
        <v>43294</v>
      </c>
      <c r="I2425" s="110">
        <v>40994</v>
      </c>
      <c r="J2425" s="110">
        <v>40994</v>
      </c>
    </row>
    <row r="2426" spans="1:12" x14ac:dyDescent="0.2">
      <c r="A2426" t="s">
        <v>61</v>
      </c>
      <c r="B2426" t="s">
        <v>106</v>
      </c>
      <c r="C2426" t="s">
        <v>194</v>
      </c>
      <c r="D2426" s="110">
        <v>39346.699999999997</v>
      </c>
      <c r="I2426" s="110">
        <v>37646.699999999997</v>
      </c>
    </row>
    <row r="2427" spans="1:12" x14ac:dyDescent="0.2">
      <c r="A2427" t="s">
        <v>61</v>
      </c>
      <c r="B2427" t="s">
        <v>107</v>
      </c>
      <c r="C2427" t="s">
        <v>191</v>
      </c>
      <c r="D2427" s="110">
        <v>45924.15</v>
      </c>
      <c r="E2427" s="110">
        <v>45924.15</v>
      </c>
      <c r="F2427" s="110">
        <v>45924.15</v>
      </c>
      <c r="G2427" s="110">
        <v>45924.15</v>
      </c>
      <c r="I2427" s="110">
        <v>45749.15</v>
      </c>
      <c r="J2427" s="110">
        <v>45924.15</v>
      </c>
      <c r="K2427" s="110">
        <v>45924.15</v>
      </c>
      <c r="L2427" s="110">
        <v>45924.15</v>
      </c>
    </row>
    <row r="2428" spans="1:12" x14ac:dyDescent="0.2">
      <c r="A2428" t="s">
        <v>61</v>
      </c>
      <c r="B2428" t="s">
        <v>107</v>
      </c>
      <c r="C2428" t="s">
        <v>192</v>
      </c>
      <c r="D2428" s="110">
        <v>40895</v>
      </c>
      <c r="E2428" s="110">
        <v>40895</v>
      </c>
      <c r="F2428" s="110">
        <v>40895</v>
      </c>
      <c r="I2428" s="110">
        <v>35715</v>
      </c>
      <c r="J2428" s="110">
        <v>40895</v>
      </c>
      <c r="K2428" s="110">
        <v>40895</v>
      </c>
    </row>
    <row r="2429" spans="1:12" x14ac:dyDescent="0.2">
      <c r="A2429" t="s">
        <v>61</v>
      </c>
      <c r="B2429" t="s">
        <v>107</v>
      </c>
      <c r="C2429" t="s">
        <v>193</v>
      </c>
      <c r="D2429" s="110">
        <v>39090</v>
      </c>
      <c r="E2429" s="110">
        <v>39090</v>
      </c>
      <c r="I2429" s="110">
        <v>37490</v>
      </c>
      <c r="J2429" s="110">
        <v>38710</v>
      </c>
    </row>
    <row r="2430" spans="1:12" x14ac:dyDescent="0.2">
      <c r="A2430" t="s">
        <v>61</v>
      </c>
      <c r="B2430" t="s">
        <v>107</v>
      </c>
      <c r="C2430" t="s">
        <v>194</v>
      </c>
      <c r="D2430" s="110">
        <v>50430</v>
      </c>
      <c r="I2430" s="110">
        <v>48665</v>
      </c>
    </row>
    <row r="2431" spans="1:12" x14ac:dyDescent="0.2">
      <c r="A2431" t="s">
        <v>61</v>
      </c>
      <c r="B2431" t="s">
        <v>108</v>
      </c>
      <c r="C2431" t="s">
        <v>191</v>
      </c>
      <c r="D2431" s="110">
        <v>11722</v>
      </c>
      <c r="E2431" s="110">
        <v>11722</v>
      </c>
      <c r="F2431" s="110">
        <v>11722</v>
      </c>
      <c r="G2431" s="110">
        <v>11722</v>
      </c>
      <c r="I2431" s="110">
        <v>11722</v>
      </c>
      <c r="J2431" s="110">
        <v>11722</v>
      </c>
      <c r="K2431" s="110">
        <v>11722</v>
      </c>
      <c r="L2431" s="110">
        <v>11722</v>
      </c>
    </row>
    <row r="2432" spans="1:12" x14ac:dyDescent="0.2">
      <c r="A2432" t="s">
        <v>61</v>
      </c>
      <c r="B2432" t="s">
        <v>108</v>
      </c>
      <c r="C2432" t="s">
        <v>192</v>
      </c>
      <c r="D2432" s="110">
        <v>18038</v>
      </c>
      <c r="E2432" s="110">
        <v>18038</v>
      </c>
      <c r="F2432" s="110">
        <v>18038</v>
      </c>
      <c r="I2432" s="110">
        <v>18038</v>
      </c>
      <c r="J2432" s="110">
        <v>18038</v>
      </c>
      <c r="K2432" s="110">
        <v>18038</v>
      </c>
    </row>
    <row r="2433" spans="1:12" x14ac:dyDescent="0.2">
      <c r="A2433" t="s">
        <v>61</v>
      </c>
      <c r="B2433" t="s">
        <v>108</v>
      </c>
      <c r="C2433" t="s">
        <v>193</v>
      </c>
      <c r="D2433" s="110">
        <v>15778</v>
      </c>
      <c r="E2433" s="110">
        <v>15778</v>
      </c>
      <c r="I2433" s="110">
        <v>15378</v>
      </c>
      <c r="J2433" s="110">
        <v>15778</v>
      </c>
    </row>
    <row r="2434" spans="1:12" x14ac:dyDescent="0.2">
      <c r="A2434" t="s">
        <v>61</v>
      </c>
      <c r="B2434" t="s">
        <v>108</v>
      </c>
      <c r="C2434" t="s">
        <v>194</v>
      </c>
      <c r="D2434" s="110">
        <v>10787</v>
      </c>
      <c r="I2434" s="110">
        <v>10442</v>
      </c>
    </row>
    <row r="2435" spans="1:12" x14ac:dyDescent="0.2">
      <c r="A2435" t="s">
        <v>61</v>
      </c>
      <c r="B2435" t="s">
        <v>70</v>
      </c>
      <c r="C2435" t="s">
        <v>191</v>
      </c>
      <c r="D2435" s="110">
        <v>20999</v>
      </c>
      <c r="E2435" s="110">
        <v>20563</v>
      </c>
      <c r="F2435" s="110">
        <v>20563</v>
      </c>
      <c r="G2435" s="110">
        <v>20563</v>
      </c>
      <c r="I2435" s="110">
        <v>20563</v>
      </c>
      <c r="J2435" s="110">
        <v>20563</v>
      </c>
      <c r="K2435" s="110">
        <v>20563</v>
      </c>
      <c r="L2435" s="110">
        <v>20563</v>
      </c>
    </row>
    <row r="2436" spans="1:12" x14ac:dyDescent="0.2">
      <c r="A2436" t="s">
        <v>61</v>
      </c>
      <c r="B2436" t="s">
        <v>70</v>
      </c>
      <c r="C2436" t="s">
        <v>192</v>
      </c>
      <c r="D2436" s="110">
        <v>16685</v>
      </c>
      <c r="E2436" s="110">
        <v>16685</v>
      </c>
      <c r="F2436" s="110">
        <v>16685</v>
      </c>
      <c r="I2436" s="110">
        <v>16685</v>
      </c>
      <c r="J2436" s="110">
        <v>16685</v>
      </c>
      <c r="K2436" s="110">
        <v>16685</v>
      </c>
    </row>
    <row r="2437" spans="1:12" x14ac:dyDescent="0.2">
      <c r="A2437" t="s">
        <v>61</v>
      </c>
      <c r="B2437" t="s">
        <v>70</v>
      </c>
      <c r="C2437" t="s">
        <v>193</v>
      </c>
      <c r="D2437" s="110">
        <v>17799.599999999999</v>
      </c>
      <c r="E2437" s="110">
        <v>17799.599999999999</v>
      </c>
      <c r="I2437" s="110">
        <v>14867.6</v>
      </c>
      <c r="J2437" s="110">
        <v>16635.599999999999</v>
      </c>
    </row>
    <row r="2438" spans="1:12" x14ac:dyDescent="0.2">
      <c r="A2438" t="s">
        <v>61</v>
      </c>
      <c r="B2438" t="s">
        <v>70</v>
      </c>
      <c r="C2438" t="s">
        <v>194</v>
      </c>
      <c r="D2438" s="110">
        <v>20642</v>
      </c>
      <c r="I2438" s="110">
        <v>19000</v>
      </c>
    </row>
    <row r="2439" spans="1:12" x14ac:dyDescent="0.2">
      <c r="A2439" t="s">
        <v>61</v>
      </c>
      <c r="B2439" t="s">
        <v>110</v>
      </c>
      <c r="C2439" t="s">
        <v>191</v>
      </c>
      <c r="D2439" s="110">
        <v>134053</v>
      </c>
      <c r="E2439" s="110">
        <v>134053</v>
      </c>
      <c r="F2439" s="110">
        <v>133437</v>
      </c>
      <c r="G2439" s="110">
        <v>133437</v>
      </c>
      <c r="I2439" s="110">
        <v>52345</v>
      </c>
      <c r="J2439" s="110">
        <v>97200.39</v>
      </c>
      <c r="K2439" s="110">
        <v>106870.75</v>
      </c>
      <c r="L2439" s="110">
        <v>108961.75</v>
      </c>
    </row>
    <row r="2440" spans="1:12" x14ac:dyDescent="0.2">
      <c r="A2440" t="s">
        <v>61</v>
      </c>
      <c r="B2440" t="s">
        <v>110</v>
      </c>
      <c r="C2440" t="s">
        <v>192</v>
      </c>
      <c r="D2440" s="110">
        <v>153080.25</v>
      </c>
      <c r="E2440" s="110">
        <v>146902.75</v>
      </c>
      <c r="F2440" s="110">
        <v>146902.75</v>
      </c>
      <c r="I2440" s="110">
        <v>58083.83</v>
      </c>
      <c r="J2440" s="110">
        <v>107477.82</v>
      </c>
      <c r="K2440" s="110">
        <v>118576.24</v>
      </c>
    </row>
    <row r="2441" spans="1:12" x14ac:dyDescent="0.2">
      <c r="A2441" t="s">
        <v>61</v>
      </c>
      <c r="B2441" t="s">
        <v>110</v>
      </c>
      <c r="C2441" t="s">
        <v>193</v>
      </c>
      <c r="D2441" s="110">
        <v>208038.05</v>
      </c>
      <c r="E2441" s="110">
        <v>200562</v>
      </c>
      <c r="I2441" s="110">
        <v>88284.05</v>
      </c>
      <c r="J2441" s="110">
        <v>146488.65</v>
      </c>
    </row>
    <row r="2442" spans="1:12" x14ac:dyDescent="0.2">
      <c r="A2442" t="s">
        <v>61</v>
      </c>
      <c r="B2442" t="s">
        <v>110</v>
      </c>
      <c r="C2442" t="s">
        <v>194</v>
      </c>
      <c r="D2442" s="110">
        <v>145377.4</v>
      </c>
      <c r="I2442" s="110">
        <v>58743.43</v>
      </c>
    </row>
    <row r="2443" spans="1:12" x14ac:dyDescent="0.2">
      <c r="A2443" t="s">
        <v>62</v>
      </c>
      <c r="B2443" t="s">
        <v>104</v>
      </c>
      <c r="C2443" t="s">
        <v>191</v>
      </c>
      <c r="D2443" s="110">
        <v>95394.21</v>
      </c>
      <c r="E2443" s="110">
        <v>95394.21</v>
      </c>
      <c r="F2443" s="110">
        <v>95419.21</v>
      </c>
      <c r="G2443" s="110">
        <v>95419.21</v>
      </c>
      <c r="I2443" s="110">
        <v>3659.86</v>
      </c>
      <c r="J2443" s="110">
        <v>5660.69</v>
      </c>
      <c r="K2443" s="110">
        <v>6182.01</v>
      </c>
      <c r="L2443" s="110">
        <v>6731.82</v>
      </c>
    </row>
    <row r="2444" spans="1:12" x14ac:dyDescent="0.2">
      <c r="A2444" t="s">
        <v>62</v>
      </c>
      <c r="B2444" t="s">
        <v>104</v>
      </c>
      <c r="C2444" t="s">
        <v>192</v>
      </c>
      <c r="D2444" s="110">
        <v>103024.03</v>
      </c>
      <c r="E2444" s="110">
        <v>103124.03</v>
      </c>
      <c r="F2444" s="110">
        <v>103124.03</v>
      </c>
      <c r="I2444" s="110">
        <v>1847.84</v>
      </c>
      <c r="J2444" s="110">
        <v>3882.68</v>
      </c>
      <c r="K2444" s="110">
        <v>7570.2</v>
      </c>
    </row>
    <row r="2445" spans="1:12" x14ac:dyDescent="0.2">
      <c r="A2445" t="s">
        <v>62</v>
      </c>
      <c r="B2445" t="s">
        <v>104</v>
      </c>
      <c r="C2445" t="s">
        <v>193</v>
      </c>
      <c r="D2445" s="110">
        <v>163851.01999999999</v>
      </c>
      <c r="E2445" s="110">
        <v>163851.01999999999</v>
      </c>
      <c r="I2445" s="110">
        <v>3846.1</v>
      </c>
      <c r="J2445" s="110">
        <v>5381.99</v>
      </c>
    </row>
    <row r="2446" spans="1:12" x14ac:dyDescent="0.2">
      <c r="A2446" t="s">
        <v>62</v>
      </c>
      <c r="B2446" t="s">
        <v>104</v>
      </c>
      <c r="C2446" t="s">
        <v>194</v>
      </c>
      <c r="D2446" s="110">
        <v>147233.44</v>
      </c>
      <c r="I2446" s="110">
        <v>3631.77</v>
      </c>
    </row>
    <row r="2447" spans="1:12" x14ac:dyDescent="0.2">
      <c r="A2447" t="s">
        <v>62</v>
      </c>
      <c r="B2447" t="s">
        <v>140</v>
      </c>
      <c r="C2447" t="s">
        <v>191</v>
      </c>
      <c r="D2447" s="110">
        <v>800</v>
      </c>
      <c r="E2447" s="110">
        <v>800</v>
      </c>
      <c r="F2447" s="110">
        <v>800</v>
      </c>
      <c r="G2447" s="110">
        <v>800</v>
      </c>
      <c r="I2447" s="110">
        <v>800</v>
      </c>
      <c r="J2447" s="110">
        <v>800</v>
      </c>
      <c r="K2447" s="110">
        <v>800</v>
      </c>
      <c r="L2447" s="110">
        <v>800</v>
      </c>
    </row>
    <row r="2448" spans="1:12" x14ac:dyDescent="0.2">
      <c r="A2448" t="s">
        <v>62</v>
      </c>
      <c r="B2448" t="s">
        <v>140</v>
      </c>
      <c r="C2448" t="s">
        <v>192</v>
      </c>
      <c r="D2448" s="110">
        <v>1340</v>
      </c>
      <c r="E2448" s="110">
        <v>1340</v>
      </c>
      <c r="F2448" s="110">
        <v>1340</v>
      </c>
    </row>
    <row r="2449" spans="1:12" x14ac:dyDescent="0.2">
      <c r="A2449" t="s">
        <v>62</v>
      </c>
      <c r="B2449" t="s">
        <v>140</v>
      </c>
      <c r="C2449" t="s">
        <v>193</v>
      </c>
      <c r="D2449" s="110">
        <v>53265</v>
      </c>
      <c r="E2449" s="110">
        <v>53265</v>
      </c>
    </row>
    <row r="2450" spans="1:12" x14ac:dyDescent="0.2">
      <c r="A2450" t="s">
        <v>62</v>
      </c>
      <c r="B2450" t="s">
        <v>140</v>
      </c>
      <c r="C2450" t="s">
        <v>194</v>
      </c>
      <c r="D2450" s="110">
        <v>3630</v>
      </c>
    </row>
    <row r="2451" spans="1:12" x14ac:dyDescent="0.2">
      <c r="A2451" t="s">
        <v>62</v>
      </c>
      <c r="B2451" t="s">
        <v>105</v>
      </c>
      <c r="C2451" t="s">
        <v>191</v>
      </c>
      <c r="D2451" s="110">
        <v>40906.5</v>
      </c>
      <c r="E2451" s="110">
        <v>40906.5</v>
      </c>
      <c r="F2451" s="110">
        <v>40906.5</v>
      </c>
      <c r="G2451" s="110">
        <v>40906.5</v>
      </c>
      <c r="I2451" s="110">
        <v>5676</v>
      </c>
      <c r="J2451" s="110">
        <v>13109</v>
      </c>
      <c r="K2451" s="110">
        <v>17485.5</v>
      </c>
      <c r="L2451" s="110">
        <v>18923</v>
      </c>
    </row>
    <row r="2452" spans="1:12" x14ac:dyDescent="0.2">
      <c r="A2452" t="s">
        <v>62</v>
      </c>
      <c r="B2452" t="s">
        <v>105</v>
      </c>
      <c r="C2452" t="s">
        <v>192</v>
      </c>
      <c r="D2452" s="110">
        <v>26779.5</v>
      </c>
      <c r="E2452" s="110">
        <v>26749.5</v>
      </c>
      <c r="F2452" s="110">
        <v>26599.5</v>
      </c>
      <c r="I2452" s="110">
        <v>3593</v>
      </c>
      <c r="J2452" s="110">
        <v>8446</v>
      </c>
      <c r="K2452" s="110">
        <v>11737.5</v>
      </c>
    </row>
    <row r="2453" spans="1:12" x14ac:dyDescent="0.2">
      <c r="A2453" t="s">
        <v>62</v>
      </c>
      <c r="B2453" t="s">
        <v>105</v>
      </c>
      <c r="C2453" t="s">
        <v>193</v>
      </c>
      <c r="D2453" s="110">
        <v>28714</v>
      </c>
      <c r="E2453" s="110">
        <v>28664</v>
      </c>
      <c r="I2453" s="110">
        <v>2482</v>
      </c>
      <c r="J2453" s="110">
        <v>7274.24</v>
      </c>
    </row>
    <row r="2454" spans="1:12" x14ac:dyDescent="0.2">
      <c r="A2454" t="s">
        <v>62</v>
      </c>
      <c r="B2454" t="s">
        <v>105</v>
      </c>
      <c r="C2454" t="s">
        <v>194</v>
      </c>
      <c r="D2454" s="110">
        <v>31870.5</v>
      </c>
      <c r="I2454" s="110">
        <v>2409.59</v>
      </c>
    </row>
    <row r="2455" spans="1:12" x14ac:dyDescent="0.2">
      <c r="A2455" t="s">
        <v>62</v>
      </c>
      <c r="B2455" t="s">
        <v>111</v>
      </c>
      <c r="C2455" t="s">
        <v>191</v>
      </c>
      <c r="D2455" s="110">
        <v>3287</v>
      </c>
      <c r="E2455" s="110">
        <v>3387</v>
      </c>
      <c r="F2455" s="110">
        <v>3387</v>
      </c>
      <c r="G2455" s="110">
        <v>3387</v>
      </c>
    </row>
    <row r="2456" spans="1:12" x14ac:dyDescent="0.2">
      <c r="A2456" t="s">
        <v>62</v>
      </c>
      <c r="B2456" t="s">
        <v>111</v>
      </c>
      <c r="C2456" t="s">
        <v>192</v>
      </c>
      <c r="D2456" s="110">
        <v>4854</v>
      </c>
      <c r="E2456" s="110">
        <v>4854</v>
      </c>
      <c r="F2456" s="110">
        <v>4854</v>
      </c>
    </row>
    <row r="2457" spans="1:12" x14ac:dyDescent="0.2">
      <c r="A2457" t="s">
        <v>62</v>
      </c>
      <c r="B2457" t="s">
        <v>111</v>
      </c>
      <c r="C2457" t="s">
        <v>193</v>
      </c>
      <c r="D2457" s="110">
        <v>1566</v>
      </c>
      <c r="E2457" s="110">
        <v>1566</v>
      </c>
      <c r="I2457" s="110">
        <v>288</v>
      </c>
      <c r="J2457" s="110">
        <v>288</v>
      </c>
    </row>
    <row r="2458" spans="1:12" x14ac:dyDescent="0.2">
      <c r="A2458" t="s">
        <v>62</v>
      </c>
      <c r="B2458" t="s">
        <v>111</v>
      </c>
      <c r="C2458" t="s">
        <v>194</v>
      </c>
    </row>
    <row r="2459" spans="1:12" x14ac:dyDescent="0.2">
      <c r="A2459" t="s">
        <v>62</v>
      </c>
      <c r="B2459" t="s">
        <v>109</v>
      </c>
      <c r="C2459" t="s">
        <v>191</v>
      </c>
      <c r="D2459" s="110">
        <v>23522.5</v>
      </c>
      <c r="E2459" s="110">
        <v>24907</v>
      </c>
      <c r="F2459" s="110">
        <v>24907</v>
      </c>
      <c r="G2459" s="110">
        <v>24907</v>
      </c>
      <c r="I2459" s="110">
        <v>1339.55</v>
      </c>
      <c r="J2459" s="110">
        <v>8650.9500000000007</v>
      </c>
      <c r="K2459" s="110">
        <v>13124.35</v>
      </c>
      <c r="L2459" s="110">
        <v>15422.8</v>
      </c>
    </row>
    <row r="2460" spans="1:12" x14ac:dyDescent="0.2">
      <c r="A2460" t="s">
        <v>62</v>
      </c>
      <c r="B2460" t="s">
        <v>109</v>
      </c>
      <c r="C2460" t="s">
        <v>192</v>
      </c>
      <c r="D2460" s="110">
        <v>23823.9</v>
      </c>
      <c r="E2460" s="110">
        <v>25565</v>
      </c>
      <c r="F2460" s="110">
        <v>25565</v>
      </c>
      <c r="I2460" s="110">
        <v>2365.6</v>
      </c>
      <c r="J2460" s="110">
        <v>6720.86</v>
      </c>
      <c r="K2460" s="110">
        <v>10299.36</v>
      </c>
    </row>
    <row r="2461" spans="1:12" x14ac:dyDescent="0.2">
      <c r="A2461" t="s">
        <v>62</v>
      </c>
      <c r="B2461" t="s">
        <v>109</v>
      </c>
      <c r="C2461" t="s">
        <v>193</v>
      </c>
      <c r="D2461" s="110">
        <v>38792.379999999997</v>
      </c>
      <c r="E2461" s="110">
        <v>39133.379999999997</v>
      </c>
      <c r="I2461" s="110">
        <v>1093.0999999999999</v>
      </c>
      <c r="J2461" s="110">
        <v>7373.32</v>
      </c>
    </row>
    <row r="2462" spans="1:12" x14ac:dyDescent="0.2">
      <c r="A2462" t="s">
        <v>62</v>
      </c>
      <c r="B2462" t="s">
        <v>109</v>
      </c>
      <c r="C2462" t="s">
        <v>194</v>
      </c>
      <c r="D2462" s="110">
        <v>35856.720000000001</v>
      </c>
      <c r="I2462" s="110">
        <v>2701.01</v>
      </c>
    </row>
    <row r="2463" spans="1:12" x14ac:dyDescent="0.2">
      <c r="A2463" t="s">
        <v>62</v>
      </c>
      <c r="B2463" t="s">
        <v>106</v>
      </c>
      <c r="C2463" t="s">
        <v>191</v>
      </c>
      <c r="D2463" s="110">
        <v>14973.5</v>
      </c>
      <c r="E2463" s="110">
        <v>14973.5</v>
      </c>
      <c r="F2463" s="110">
        <v>14973.5</v>
      </c>
      <c r="G2463" s="110">
        <v>14973.5</v>
      </c>
      <c r="I2463" s="110">
        <v>14573.5</v>
      </c>
      <c r="J2463" s="110">
        <v>14573.5</v>
      </c>
      <c r="K2463" s="110">
        <v>14573.5</v>
      </c>
      <c r="L2463" s="110">
        <v>14573.5</v>
      </c>
    </row>
    <row r="2464" spans="1:12" x14ac:dyDescent="0.2">
      <c r="A2464" t="s">
        <v>62</v>
      </c>
      <c r="B2464" t="s">
        <v>106</v>
      </c>
      <c r="C2464" t="s">
        <v>192</v>
      </c>
      <c r="D2464" s="110">
        <v>21863.25</v>
      </c>
      <c r="E2464" s="110">
        <v>21863.25</v>
      </c>
      <c r="F2464" s="110">
        <v>21863.25</v>
      </c>
      <c r="I2464" s="110">
        <v>19573.25</v>
      </c>
      <c r="J2464" s="110">
        <v>21383.25</v>
      </c>
      <c r="K2464" s="110">
        <v>21383.25</v>
      </c>
    </row>
    <row r="2465" spans="1:12" x14ac:dyDescent="0.2">
      <c r="A2465" t="s">
        <v>62</v>
      </c>
      <c r="B2465" t="s">
        <v>106</v>
      </c>
      <c r="C2465" t="s">
        <v>193</v>
      </c>
      <c r="D2465" s="110">
        <v>20657.5</v>
      </c>
      <c r="E2465" s="110">
        <v>20657.5</v>
      </c>
      <c r="I2465" s="110">
        <v>17516.5</v>
      </c>
      <c r="J2465" s="110">
        <v>20117.5</v>
      </c>
    </row>
    <row r="2466" spans="1:12" x14ac:dyDescent="0.2">
      <c r="A2466" t="s">
        <v>62</v>
      </c>
      <c r="B2466" t="s">
        <v>106</v>
      </c>
      <c r="C2466" t="s">
        <v>194</v>
      </c>
      <c r="D2466" s="110">
        <v>19671</v>
      </c>
      <c r="I2466" s="110">
        <v>17271</v>
      </c>
    </row>
    <row r="2467" spans="1:12" x14ac:dyDescent="0.2">
      <c r="A2467" t="s">
        <v>62</v>
      </c>
      <c r="B2467" t="s">
        <v>107</v>
      </c>
      <c r="C2467" t="s">
        <v>191</v>
      </c>
      <c r="D2467" s="110">
        <v>14697.13</v>
      </c>
      <c r="E2467" s="110">
        <v>14997.13</v>
      </c>
      <c r="F2467" s="110">
        <v>14997.13</v>
      </c>
      <c r="G2467" s="110">
        <v>14997.13</v>
      </c>
      <c r="I2467" s="110">
        <v>13547.13</v>
      </c>
      <c r="J2467" s="110">
        <v>14702.13</v>
      </c>
      <c r="K2467" s="110">
        <v>14702.13</v>
      </c>
      <c r="L2467" s="110">
        <v>14702.13</v>
      </c>
    </row>
    <row r="2468" spans="1:12" x14ac:dyDescent="0.2">
      <c r="A2468" t="s">
        <v>62</v>
      </c>
      <c r="B2468" t="s">
        <v>107</v>
      </c>
      <c r="C2468" t="s">
        <v>192</v>
      </c>
      <c r="D2468" s="110">
        <v>14237.72</v>
      </c>
      <c r="E2468" s="110">
        <v>14237.72</v>
      </c>
      <c r="F2468" s="110">
        <v>14237.72</v>
      </c>
      <c r="I2468" s="110">
        <v>12802.72</v>
      </c>
      <c r="J2468" s="110">
        <v>13617.72</v>
      </c>
      <c r="K2468" s="110">
        <v>13617.72</v>
      </c>
    </row>
    <row r="2469" spans="1:12" x14ac:dyDescent="0.2">
      <c r="A2469" t="s">
        <v>62</v>
      </c>
      <c r="B2469" t="s">
        <v>107</v>
      </c>
      <c r="C2469" t="s">
        <v>193</v>
      </c>
      <c r="D2469" s="110">
        <v>16239.93</v>
      </c>
      <c r="E2469" s="110">
        <v>16539.93</v>
      </c>
      <c r="I2469" s="110">
        <v>15279.93</v>
      </c>
      <c r="J2469" s="110">
        <v>16539.93</v>
      </c>
    </row>
    <row r="2470" spans="1:12" x14ac:dyDescent="0.2">
      <c r="A2470" t="s">
        <v>62</v>
      </c>
      <c r="B2470" t="s">
        <v>107</v>
      </c>
      <c r="C2470" t="s">
        <v>194</v>
      </c>
      <c r="D2470" s="110">
        <v>17169.099999999999</v>
      </c>
      <c r="I2470" s="110">
        <v>15224.1</v>
      </c>
    </row>
    <row r="2471" spans="1:12" x14ac:dyDescent="0.2">
      <c r="A2471" t="s">
        <v>62</v>
      </c>
      <c r="B2471" t="s">
        <v>108</v>
      </c>
      <c r="C2471" t="s">
        <v>191</v>
      </c>
      <c r="D2471" s="110">
        <v>6263</v>
      </c>
      <c r="E2471" s="110">
        <v>6263</v>
      </c>
      <c r="F2471" s="110">
        <v>6263</v>
      </c>
      <c r="G2471" s="110">
        <v>6263</v>
      </c>
      <c r="I2471" s="110">
        <v>5632</v>
      </c>
      <c r="J2471" s="110">
        <v>6032</v>
      </c>
      <c r="K2471" s="110">
        <v>6032</v>
      </c>
      <c r="L2471" s="110">
        <v>6032</v>
      </c>
    </row>
    <row r="2472" spans="1:12" x14ac:dyDescent="0.2">
      <c r="A2472" t="s">
        <v>62</v>
      </c>
      <c r="B2472" t="s">
        <v>108</v>
      </c>
      <c r="C2472" t="s">
        <v>192</v>
      </c>
      <c r="D2472" s="110">
        <v>10997</v>
      </c>
      <c r="E2472" s="110">
        <v>10997</v>
      </c>
      <c r="F2472" s="110">
        <v>10997</v>
      </c>
      <c r="I2472" s="110">
        <v>9226</v>
      </c>
      <c r="J2472" s="110">
        <v>10997</v>
      </c>
      <c r="K2472" s="110">
        <v>10997</v>
      </c>
    </row>
    <row r="2473" spans="1:12" x14ac:dyDescent="0.2">
      <c r="A2473" t="s">
        <v>62</v>
      </c>
      <c r="B2473" t="s">
        <v>108</v>
      </c>
      <c r="C2473" t="s">
        <v>193</v>
      </c>
      <c r="D2473" s="110">
        <v>11837</v>
      </c>
      <c r="E2473" s="110">
        <v>11837</v>
      </c>
      <c r="I2473" s="110">
        <v>11092</v>
      </c>
      <c r="J2473" s="110">
        <v>11437</v>
      </c>
    </row>
    <row r="2474" spans="1:12" x14ac:dyDescent="0.2">
      <c r="A2474" t="s">
        <v>62</v>
      </c>
      <c r="B2474" t="s">
        <v>108</v>
      </c>
      <c r="C2474" t="s">
        <v>194</v>
      </c>
      <c r="D2474" s="110">
        <v>9673</v>
      </c>
      <c r="I2474" s="110">
        <v>9673</v>
      </c>
    </row>
    <row r="2475" spans="1:12" x14ac:dyDescent="0.2">
      <c r="A2475" t="s">
        <v>62</v>
      </c>
      <c r="B2475" t="s">
        <v>70</v>
      </c>
      <c r="C2475" t="s">
        <v>191</v>
      </c>
      <c r="D2475" s="110">
        <v>10142</v>
      </c>
      <c r="E2475" s="110">
        <v>10142</v>
      </c>
      <c r="F2475" s="110">
        <v>10142</v>
      </c>
      <c r="G2475" s="110">
        <v>9734</v>
      </c>
      <c r="I2475" s="110">
        <v>9085.23</v>
      </c>
      <c r="J2475" s="110">
        <v>9085.23</v>
      </c>
      <c r="K2475" s="110">
        <v>9085.23</v>
      </c>
      <c r="L2475" s="110">
        <v>9085.23</v>
      </c>
    </row>
    <row r="2476" spans="1:12" x14ac:dyDescent="0.2">
      <c r="A2476" t="s">
        <v>62</v>
      </c>
      <c r="B2476" t="s">
        <v>70</v>
      </c>
      <c r="C2476" t="s">
        <v>192</v>
      </c>
      <c r="D2476" s="110">
        <v>12661</v>
      </c>
      <c r="E2476" s="110">
        <v>12661</v>
      </c>
      <c r="F2476" s="110">
        <v>12661</v>
      </c>
      <c r="I2476" s="110">
        <v>10729</v>
      </c>
      <c r="J2476" s="110">
        <v>11545</v>
      </c>
      <c r="K2476" s="110">
        <v>11545</v>
      </c>
    </row>
    <row r="2477" spans="1:12" x14ac:dyDescent="0.2">
      <c r="A2477" t="s">
        <v>62</v>
      </c>
      <c r="B2477" t="s">
        <v>70</v>
      </c>
      <c r="C2477" t="s">
        <v>193</v>
      </c>
      <c r="D2477" s="110">
        <v>15544</v>
      </c>
      <c r="E2477" s="110">
        <v>15544</v>
      </c>
      <c r="I2477" s="110">
        <v>14526</v>
      </c>
      <c r="J2477" s="110">
        <v>14934</v>
      </c>
    </row>
    <row r="2478" spans="1:12" x14ac:dyDescent="0.2">
      <c r="A2478" t="s">
        <v>62</v>
      </c>
      <c r="B2478" t="s">
        <v>70</v>
      </c>
      <c r="C2478" t="s">
        <v>194</v>
      </c>
      <c r="D2478" s="110">
        <v>14762</v>
      </c>
      <c r="I2478" s="110">
        <v>13886</v>
      </c>
    </row>
    <row r="2479" spans="1:12" x14ac:dyDescent="0.2">
      <c r="A2479" t="s">
        <v>62</v>
      </c>
      <c r="B2479" t="s">
        <v>110</v>
      </c>
      <c r="C2479" t="s">
        <v>191</v>
      </c>
      <c r="D2479" s="110">
        <v>61827</v>
      </c>
      <c r="E2479" s="110">
        <v>58224</v>
      </c>
      <c r="I2479" s="110">
        <v>26256</v>
      </c>
      <c r="J2479" s="110">
        <v>45242</v>
      </c>
    </row>
    <row r="2480" spans="1:12" x14ac:dyDescent="0.2">
      <c r="A2480" t="s">
        <v>62</v>
      </c>
      <c r="B2480" t="s">
        <v>110</v>
      </c>
      <c r="C2480" t="s">
        <v>192</v>
      </c>
      <c r="D2480" s="110">
        <v>81106.5</v>
      </c>
      <c r="I2480" s="110">
        <v>31487</v>
      </c>
    </row>
    <row r="2481" spans="1:12" x14ac:dyDescent="0.2">
      <c r="A2481" t="s">
        <v>62</v>
      </c>
      <c r="B2481" t="s">
        <v>110</v>
      </c>
      <c r="C2481" t="s">
        <v>193</v>
      </c>
    </row>
    <row r="2482" spans="1:12" x14ac:dyDescent="0.2">
      <c r="A2482" t="s">
        <v>62</v>
      </c>
      <c r="B2482" t="s">
        <v>110</v>
      </c>
      <c r="C2482" t="s">
        <v>194</v>
      </c>
    </row>
    <row r="2483" spans="1:12" x14ac:dyDescent="0.2">
      <c r="A2483" t="s">
        <v>63</v>
      </c>
      <c r="B2483" t="s">
        <v>104</v>
      </c>
      <c r="C2483" t="s">
        <v>191</v>
      </c>
      <c r="D2483" s="110">
        <v>139313.5</v>
      </c>
      <c r="E2483" s="110">
        <v>138963.5</v>
      </c>
      <c r="F2483" s="110">
        <v>138913.5</v>
      </c>
      <c r="G2483" s="110">
        <v>138139.75</v>
      </c>
      <c r="J2483" s="110">
        <v>980.77</v>
      </c>
      <c r="K2483" s="110">
        <v>1449.08</v>
      </c>
      <c r="L2483" s="110">
        <v>1698.07</v>
      </c>
    </row>
    <row r="2484" spans="1:12" x14ac:dyDescent="0.2">
      <c r="A2484" t="s">
        <v>63</v>
      </c>
      <c r="B2484" t="s">
        <v>104</v>
      </c>
      <c r="C2484" t="s">
        <v>192</v>
      </c>
      <c r="D2484" s="110">
        <v>14549.75</v>
      </c>
      <c r="E2484" s="110">
        <v>14299.75</v>
      </c>
      <c r="F2484" s="110">
        <v>13949.75</v>
      </c>
      <c r="J2484" s="110">
        <v>383.65</v>
      </c>
      <c r="K2484" s="110">
        <v>499.13</v>
      </c>
    </row>
    <row r="2485" spans="1:12" x14ac:dyDescent="0.2">
      <c r="A2485" t="s">
        <v>63</v>
      </c>
      <c r="B2485" t="s">
        <v>104</v>
      </c>
      <c r="C2485" t="s">
        <v>193</v>
      </c>
      <c r="D2485" s="110">
        <v>21227.75</v>
      </c>
      <c r="E2485" s="110">
        <v>22226.5</v>
      </c>
      <c r="I2485" s="110">
        <v>124</v>
      </c>
      <c r="J2485" s="110">
        <v>233.54</v>
      </c>
    </row>
    <row r="2486" spans="1:12" x14ac:dyDescent="0.2">
      <c r="A2486" t="s">
        <v>63</v>
      </c>
      <c r="B2486" t="s">
        <v>104</v>
      </c>
      <c r="C2486" t="s">
        <v>194</v>
      </c>
      <c r="D2486" s="110">
        <v>34917.75</v>
      </c>
    </row>
    <row r="2487" spans="1:12" x14ac:dyDescent="0.2">
      <c r="A2487" t="s">
        <v>63</v>
      </c>
      <c r="B2487" t="s">
        <v>140</v>
      </c>
      <c r="C2487" t="s">
        <v>191</v>
      </c>
      <c r="D2487" s="110">
        <v>106412.5</v>
      </c>
      <c r="E2487" s="110">
        <v>106412.5</v>
      </c>
      <c r="F2487" s="110">
        <v>106412.5</v>
      </c>
      <c r="G2487" s="110">
        <v>106412.5</v>
      </c>
    </row>
    <row r="2488" spans="1:12" x14ac:dyDescent="0.2">
      <c r="A2488" t="s">
        <v>63</v>
      </c>
      <c r="B2488" t="s">
        <v>140</v>
      </c>
      <c r="C2488" t="s">
        <v>192</v>
      </c>
    </row>
    <row r="2489" spans="1:12" x14ac:dyDescent="0.2">
      <c r="A2489" t="s">
        <v>63</v>
      </c>
      <c r="B2489" t="s">
        <v>140</v>
      </c>
      <c r="C2489" t="s">
        <v>193</v>
      </c>
    </row>
    <row r="2490" spans="1:12" x14ac:dyDescent="0.2">
      <c r="A2490" t="s">
        <v>63</v>
      </c>
      <c r="B2490" t="s">
        <v>140</v>
      </c>
      <c r="C2490" t="s">
        <v>194</v>
      </c>
    </row>
    <row r="2491" spans="1:12" x14ac:dyDescent="0.2">
      <c r="A2491" t="s">
        <v>63</v>
      </c>
      <c r="B2491" t="s">
        <v>105</v>
      </c>
      <c r="C2491" t="s">
        <v>191</v>
      </c>
      <c r="D2491" s="110">
        <v>8206.5</v>
      </c>
      <c r="E2491" s="110">
        <v>7956.5</v>
      </c>
      <c r="F2491" s="110">
        <v>7956.5</v>
      </c>
      <c r="G2491" s="110">
        <v>7956.5</v>
      </c>
      <c r="I2491" s="110">
        <v>780</v>
      </c>
      <c r="J2491" s="110">
        <v>2975.25</v>
      </c>
      <c r="K2491" s="110">
        <v>4332.25</v>
      </c>
      <c r="L2491" s="110">
        <v>5063.25</v>
      </c>
    </row>
    <row r="2492" spans="1:12" x14ac:dyDescent="0.2">
      <c r="A2492" t="s">
        <v>63</v>
      </c>
      <c r="B2492" t="s">
        <v>105</v>
      </c>
      <c r="C2492" t="s">
        <v>192</v>
      </c>
      <c r="D2492" s="110">
        <v>10785</v>
      </c>
      <c r="E2492" s="110">
        <v>10635</v>
      </c>
      <c r="F2492" s="110">
        <v>10435</v>
      </c>
      <c r="I2492" s="110">
        <v>1965.75</v>
      </c>
      <c r="J2492" s="110">
        <v>4697.75</v>
      </c>
      <c r="K2492" s="110">
        <v>5671.5</v>
      </c>
    </row>
    <row r="2493" spans="1:12" x14ac:dyDescent="0.2">
      <c r="A2493" t="s">
        <v>63</v>
      </c>
      <c r="B2493" t="s">
        <v>105</v>
      </c>
      <c r="C2493" t="s">
        <v>193</v>
      </c>
      <c r="D2493" s="110">
        <v>10749.25</v>
      </c>
      <c r="E2493" s="110">
        <v>10599.25</v>
      </c>
      <c r="I2493" s="110">
        <v>2933.75</v>
      </c>
      <c r="J2493" s="110">
        <v>3817.5</v>
      </c>
    </row>
    <row r="2494" spans="1:12" x14ac:dyDescent="0.2">
      <c r="A2494" t="s">
        <v>63</v>
      </c>
      <c r="B2494" t="s">
        <v>105</v>
      </c>
      <c r="C2494" t="s">
        <v>194</v>
      </c>
      <c r="D2494" s="110">
        <v>8388.75</v>
      </c>
      <c r="I2494" s="110">
        <v>883.75</v>
      </c>
    </row>
    <row r="2495" spans="1:12" x14ac:dyDescent="0.2">
      <c r="A2495" t="s">
        <v>63</v>
      </c>
      <c r="B2495" t="s">
        <v>111</v>
      </c>
      <c r="C2495" t="s">
        <v>191</v>
      </c>
      <c r="D2495" s="110">
        <v>1243.5</v>
      </c>
      <c r="E2495" s="110">
        <v>1243.5</v>
      </c>
      <c r="F2495" s="110">
        <v>1243.5</v>
      </c>
      <c r="G2495" s="110">
        <v>1243.5</v>
      </c>
      <c r="I2495" s="110">
        <v>3.5</v>
      </c>
      <c r="J2495" s="110">
        <v>3.5</v>
      </c>
      <c r="K2495" s="110">
        <v>3.5</v>
      </c>
      <c r="L2495" s="110">
        <v>3.5</v>
      </c>
    </row>
    <row r="2496" spans="1:12" x14ac:dyDescent="0.2">
      <c r="A2496" t="s">
        <v>63</v>
      </c>
      <c r="B2496" t="s">
        <v>111</v>
      </c>
      <c r="C2496" t="s">
        <v>192</v>
      </c>
      <c r="D2496" s="110">
        <v>1203.5</v>
      </c>
      <c r="E2496" s="110">
        <v>1203.5</v>
      </c>
      <c r="F2496" s="110">
        <v>1203.5</v>
      </c>
      <c r="I2496" s="110">
        <v>3.5</v>
      </c>
      <c r="J2496" s="110">
        <v>3.5</v>
      </c>
      <c r="K2496" s="110">
        <v>3.5</v>
      </c>
    </row>
    <row r="2497" spans="1:12" x14ac:dyDescent="0.2">
      <c r="A2497" t="s">
        <v>63</v>
      </c>
      <c r="B2497" t="s">
        <v>111</v>
      </c>
      <c r="C2497" t="s">
        <v>193</v>
      </c>
      <c r="D2497" s="110">
        <v>643.5</v>
      </c>
      <c r="E2497" s="110">
        <v>643.5</v>
      </c>
      <c r="I2497" s="110">
        <v>3.5</v>
      </c>
      <c r="J2497" s="110">
        <v>3.5</v>
      </c>
    </row>
    <row r="2498" spans="1:12" x14ac:dyDescent="0.2">
      <c r="A2498" t="s">
        <v>63</v>
      </c>
      <c r="B2498" t="s">
        <v>111</v>
      </c>
      <c r="C2498" t="s">
        <v>194</v>
      </c>
      <c r="D2498" s="110">
        <v>670</v>
      </c>
    </row>
    <row r="2499" spans="1:12" x14ac:dyDescent="0.2">
      <c r="A2499" t="s">
        <v>63</v>
      </c>
      <c r="B2499" t="s">
        <v>109</v>
      </c>
      <c r="C2499" t="s">
        <v>191</v>
      </c>
      <c r="D2499" s="110">
        <v>10440</v>
      </c>
      <c r="E2499" s="110">
        <v>10440</v>
      </c>
      <c r="F2499" s="110">
        <v>10440</v>
      </c>
      <c r="G2499" s="110">
        <v>10390</v>
      </c>
      <c r="I2499" s="110">
        <v>1936</v>
      </c>
      <c r="J2499" s="110">
        <v>4741.88</v>
      </c>
      <c r="K2499" s="110">
        <v>5172</v>
      </c>
      <c r="L2499" s="110">
        <v>5372</v>
      </c>
    </row>
    <row r="2500" spans="1:12" x14ac:dyDescent="0.2">
      <c r="A2500" t="s">
        <v>63</v>
      </c>
      <c r="B2500" t="s">
        <v>109</v>
      </c>
      <c r="C2500" t="s">
        <v>192</v>
      </c>
      <c r="D2500" s="110">
        <v>3407</v>
      </c>
      <c r="E2500" s="110">
        <v>3407</v>
      </c>
      <c r="F2500" s="110">
        <v>3407</v>
      </c>
      <c r="I2500" s="110">
        <v>585.75</v>
      </c>
      <c r="J2500" s="110">
        <v>973.5</v>
      </c>
      <c r="K2500" s="110">
        <v>1179</v>
      </c>
    </row>
    <row r="2501" spans="1:12" x14ac:dyDescent="0.2">
      <c r="A2501" t="s">
        <v>63</v>
      </c>
      <c r="B2501" t="s">
        <v>109</v>
      </c>
      <c r="C2501" t="s">
        <v>193</v>
      </c>
      <c r="D2501" s="110">
        <v>7935.25</v>
      </c>
      <c r="E2501" s="110">
        <v>7885.25</v>
      </c>
      <c r="I2501" s="110">
        <v>1408.5</v>
      </c>
      <c r="J2501" s="110">
        <v>3040.5</v>
      </c>
    </row>
    <row r="2502" spans="1:12" x14ac:dyDescent="0.2">
      <c r="A2502" t="s">
        <v>63</v>
      </c>
      <c r="B2502" t="s">
        <v>109</v>
      </c>
      <c r="C2502" t="s">
        <v>194</v>
      </c>
      <c r="D2502" s="110">
        <v>12612.5</v>
      </c>
      <c r="I2502" s="110">
        <v>1061.75</v>
      </c>
    </row>
    <row r="2503" spans="1:12" x14ac:dyDescent="0.2">
      <c r="A2503" t="s">
        <v>63</v>
      </c>
      <c r="B2503" t="s">
        <v>106</v>
      </c>
      <c r="C2503" t="s">
        <v>191</v>
      </c>
      <c r="D2503" s="110">
        <v>7339</v>
      </c>
      <c r="E2503" s="110">
        <v>7339</v>
      </c>
      <c r="F2503" s="110">
        <v>7339</v>
      </c>
      <c r="G2503" s="110">
        <v>7339</v>
      </c>
      <c r="I2503" s="110">
        <v>4979</v>
      </c>
      <c r="J2503" s="110">
        <v>5178</v>
      </c>
      <c r="K2503" s="110">
        <v>5287.1</v>
      </c>
      <c r="L2503" s="110">
        <v>5359.3</v>
      </c>
    </row>
    <row r="2504" spans="1:12" x14ac:dyDescent="0.2">
      <c r="A2504" t="s">
        <v>63</v>
      </c>
      <c r="B2504" t="s">
        <v>106</v>
      </c>
      <c r="C2504" t="s">
        <v>192</v>
      </c>
      <c r="D2504" s="110">
        <v>5229</v>
      </c>
      <c r="E2504" s="110">
        <v>5229</v>
      </c>
      <c r="F2504" s="110">
        <v>5229</v>
      </c>
      <c r="I2504" s="110">
        <v>4404</v>
      </c>
      <c r="J2504" s="110">
        <v>4804</v>
      </c>
      <c r="K2504" s="110">
        <v>4829</v>
      </c>
    </row>
    <row r="2505" spans="1:12" x14ac:dyDescent="0.2">
      <c r="A2505" t="s">
        <v>63</v>
      </c>
      <c r="B2505" t="s">
        <v>106</v>
      </c>
      <c r="C2505" t="s">
        <v>193</v>
      </c>
      <c r="D2505" s="110">
        <v>15256.5</v>
      </c>
      <c r="E2505" s="110">
        <v>15256.5</v>
      </c>
      <c r="I2505" s="110">
        <v>11656.5</v>
      </c>
      <c r="J2505" s="110">
        <v>11656.5</v>
      </c>
    </row>
    <row r="2506" spans="1:12" x14ac:dyDescent="0.2">
      <c r="A2506" t="s">
        <v>63</v>
      </c>
      <c r="B2506" t="s">
        <v>106</v>
      </c>
      <c r="C2506" t="s">
        <v>194</v>
      </c>
      <c r="D2506" s="110">
        <v>15543</v>
      </c>
      <c r="I2506" s="110">
        <v>12638</v>
      </c>
    </row>
    <row r="2507" spans="1:12" x14ac:dyDescent="0.2">
      <c r="A2507" t="s">
        <v>63</v>
      </c>
      <c r="B2507" t="s">
        <v>107</v>
      </c>
      <c r="C2507" t="s">
        <v>191</v>
      </c>
      <c r="D2507" s="110">
        <v>8480</v>
      </c>
      <c r="E2507" s="110">
        <v>8480</v>
      </c>
      <c r="F2507" s="110">
        <v>8480</v>
      </c>
      <c r="G2507" s="110">
        <v>8480</v>
      </c>
      <c r="I2507" s="110">
        <v>8480</v>
      </c>
      <c r="J2507" s="110">
        <v>8480</v>
      </c>
      <c r="K2507" s="110">
        <v>8480</v>
      </c>
      <c r="L2507" s="110">
        <v>8480</v>
      </c>
    </row>
    <row r="2508" spans="1:12" x14ac:dyDescent="0.2">
      <c r="A2508" t="s">
        <v>63</v>
      </c>
      <c r="B2508" t="s">
        <v>107</v>
      </c>
      <c r="C2508" t="s">
        <v>192</v>
      </c>
      <c r="D2508" s="110">
        <v>13095</v>
      </c>
      <c r="E2508" s="110">
        <v>13095</v>
      </c>
      <c r="F2508" s="110">
        <v>13095</v>
      </c>
      <c r="I2508" s="110">
        <v>12230</v>
      </c>
      <c r="J2508" s="110">
        <v>13095</v>
      </c>
      <c r="K2508" s="110">
        <v>13095</v>
      </c>
    </row>
    <row r="2509" spans="1:12" x14ac:dyDescent="0.2">
      <c r="A2509" t="s">
        <v>63</v>
      </c>
      <c r="B2509" t="s">
        <v>107</v>
      </c>
      <c r="C2509" t="s">
        <v>193</v>
      </c>
      <c r="D2509" s="110">
        <v>13620.13</v>
      </c>
      <c r="E2509" s="110">
        <v>13620.13</v>
      </c>
      <c r="I2509" s="110">
        <v>13620.13</v>
      </c>
      <c r="J2509" s="110">
        <v>13620.13</v>
      </c>
    </row>
    <row r="2510" spans="1:12" x14ac:dyDescent="0.2">
      <c r="A2510" t="s">
        <v>63</v>
      </c>
      <c r="B2510" t="s">
        <v>107</v>
      </c>
      <c r="C2510" t="s">
        <v>194</v>
      </c>
      <c r="D2510" s="110">
        <v>11930.26</v>
      </c>
      <c r="I2510" s="110">
        <v>11930.26</v>
      </c>
    </row>
    <row r="2511" spans="1:12" x14ac:dyDescent="0.2">
      <c r="A2511" t="s">
        <v>63</v>
      </c>
      <c r="B2511" t="s">
        <v>108</v>
      </c>
      <c r="C2511" t="s">
        <v>191</v>
      </c>
      <c r="D2511" s="110">
        <v>1891</v>
      </c>
      <c r="E2511" s="110">
        <v>1891</v>
      </c>
      <c r="F2511" s="110">
        <v>1891</v>
      </c>
      <c r="G2511" s="110">
        <v>1891</v>
      </c>
      <c r="I2511" s="110">
        <v>1891</v>
      </c>
      <c r="J2511" s="110">
        <v>1891</v>
      </c>
      <c r="K2511" s="110">
        <v>1891</v>
      </c>
      <c r="L2511" s="110">
        <v>1891</v>
      </c>
    </row>
    <row r="2512" spans="1:12" x14ac:dyDescent="0.2">
      <c r="A2512" t="s">
        <v>63</v>
      </c>
      <c r="B2512" t="s">
        <v>108</v>
      </c>
      <c r="C2512" t="s">
        <v>192</v>
      </c>
      <c r="D2512" s="110">
        <v>4705</v>
      </c>
      <c r="E2512" s="110">
        <v>4705</v>
      </c>
      <c r="F2512" s="110">
        <v>4705</v>
      </c>
      <c r="I2512" s="110">
        <v>4360</v>
      </c>
      <c r="J2512" s="110">
        <v>4705</v>
      </c>
      <c r="K2512" s="110">
        <v>4705</v>
      </c>
    </row>
    <row r="2513" spans="1:12" x14ac:dyDescent="0.2">
      <c r="A2513" t="s">
        <v>63</v>
      </c>
      <c r="B2513" t="s">
        <v>108</v>
      </c>
      <c r="C2513" t="s">
        <v>193</v>
      </c>
      <c r="D2513" s="110">
        <v>3840</v>
      </c>
      <c r="E2513" s="110">
        <v>3840</v>
      </c>
      <c r="I2513" s="110">
        <v>3840</v>
      </c>
      <c r="J2513" s="110">
        <v>3840</v>
      </c>
    </row>
    <row r="2514" spans="1:12" x14ac:dyDescent="0.2">
      <c r="A2514" t="s">
        <v>63</v>
      </c>
      <c r="B2514" t="s">
        <v>108</v>
      </c>
      <c r="C2514" t="s">
        <v>194</v>
      </c>
      <c r="D2514" s="110">
        <v>2756</v>
      </c>
      <c r="I2514" s="110">
        <v>2756</v>
      </c>
    </row>
    <row r="2515" spans="1:12" x14ac:dyDescent="0.2">
      <c r="A2515" t="s">
        <v>63</v>
      </c>
      <c r="B2515" t="s">
        <v>70</v>
      </c>
      <c r="C2515" t="s">
        <v>191</v>
      </c>
      <c r="D2515" s="110">
        <v>8789</v>
      </c>
      <c r="E2515" s="110">
        <v>8789</v>
      </c>
      <c r="F2515" s="110">
        <v>8789</v>
      </c>
      <c r="G2515" s="110">
        <v>8789</v>
      </c>
      <c r="I2515" s="110">
        <v>8389</v>
      </c>
      <c r="J2515" s="110">
        <v>8389</v>
      </c>
      <c r="K2515" s="110">
        <v>8389</v>
      </c>
      <c r="L2515" s="110">
        <v>8389</v>
      </c>
    </row>
    <row r="2516" spans="1:12" x14ac:dyDescent="0.2">
      <c r="A2516" t="s">
        <v>63</v>
      </c>
      <c r="B2516" t="s">
        <v>70</v>
      </c>
      <c r="C2516" t="s">
        <v>192</v>
      </c>
      <c r="D2516" s="110">
        <v>6785</v>
      </c>
      <c r="E2516" s="110">
        <v>6785</v>
      </c>
      <c r="F2516" s="110">
        <v>6785</v>
      </c>
      <c r="I2516" s="110">
        <v>6377</v>
      </c>
      <c r="J2516" s="110">
        <v>6785</v>
      </c>
      <c r="K2516" s="110">
        <v>6785</v>
      </c>
    </row>
    <row r="2517" spans="1:12" x14ac:dyDescent="0.2">
      <c r="A2517" t="s">
        <v>63</v>
      </c>
      <c r="B2517" t="s">
        <v>70</v>
      </c>
      <c r="C2517" t="s">
        <v>193</v>
      </c>
      <c r="D2517" s="110">
        <v>7620</v>
      </c>
      <c r="E2517" s="110">
        <v>7620</v>
      </c>
      <c r="I2517" s="110">
        <v>7620</v>
      </c>
      <c r="J2517" s="110">
        <v>7620</v>
      </c>
    </row>
    <row r="2518" spans="1:12" x14ac:dyDescent="0.2">
      <c r="A2518" t="s">
        <v>63</v>
      </c>
      <c r="B2518" t="s">
        <v>70</v>
      </c>
      <c r="C2518" t="s">
        <v>194</v>
      </c>
      <c r="D2518" s="110">
        <v>5181</v>
      </c>
      <c r="I2518" s="110">
        <v>5181</v>
      </c>
    </row>
    <row r="2519" spans="1:12" x14ac:dyDescent="0.2">
      <c r="A2519" t="s">
        <v>63</v>
      </c>
      <c r="B2519" t="s">
        <v>110</v>
      </c>
      <c r="C2519" t="s">
        <v>191</v>
      </c>
      <c r="D2519" s="110">
        <v>36818</v>
      </c>
      <c r="E2519" s="110">
        <v>35169.5</v>
      </c>
      <c r="F2519" s="110">
        <v>33948.5</v>
      </c>
      <c r="G2519" s="110">
        <v>34098.5</v>
      </c>
      <c r="I2519" s="110">
        <v>15528</v>
      </c>
      <c r="J2519" s="110">
        <v>26172.5</v>
      </c>
      <c r="K2519" s="110">
        <v>29682.5</v>
      </c>
      <c r="L2519" s="110">
        <v>30194.5</v>
      </c>
    </row>
    <row r="2520" spans="1:12" x14ac:dyDescent="0.2">
      <c r="A2520" t="s">
        <v>63</v>
      </c>
      <c r="B2520" t="s">
        <v>110</v>
      </c>
      <c r="C2520" t="s">
        <v>192</v>
      </c>
      <c r="D2520" s="110">
        <v>41470.75</v>
      </c>
      <c r="E2520" s="110">
        <v>39581.75</v>
      </c>
      <c r="F2520" s="110">
        <v>39658.75</v>
      </c>
      <c r="I2520" s="110">
        <v>19213.75</v>
      </c>
      <c r="J2520" s="110">
        <v>30814.75</v>
      </c>
      <c r="K2520" s="110">
        <v>33678.75</v>
      </c>
    </row>
    <row r="2521" spans="1:12" x14ac:dyDescent="0.2">
      <c r="A2521" t="s">
        <v>63</v>
      </c>
      <c r="B2521" t="s">
        <v>110</v>
      </c>
      <c r="C2521" t="s">
        <v>193</v>
      </c>
      <c r="D2521" s="110">
        <v>35563.25</v>
      </c>
      <c r="E2521" s="110">
        <v>34725.25</v>
      </c>
      <c r="I2521" s="110">
        <v>14351.25</v>
      </c>
      <c r="J2521" s="110">
        <v>28339.25</v>
      </c>
    </row>
    <row r="2522" spans="1:12" x14ac:dyDescent="0.2">
      <c r="A2522" t="s">
        <v>63</v>
      </c>
      <c r="B2522" t="s">
        <v>110</v>
      </c>
      <c r="C2522" t="s">
        <v>194</v>
      </c>
      <c r="D2522" s="110">
        <v>26649</v>
      </c>
      <c r="I2522" s="110">
        <v>14565</v>
      </c>
    </row>
    <row r="2523" spans="1:12" x14ac:dyDescent="0.2">
      <c r="A2523" t="s">
        <v>64</v>
      </c>
      <c r="B2523" t="s">
        <v>104</v>
      </c>
      <c r="C2523" t="s">
        <v>191</v>
      </c>
      <c r="D2523" s="110">
        <v>1162805.1599999999</v>
      </c>
      <c r="E2523" s="110">
        <v>1160726.1599999999</v>
      </c>
      <c r="F2523" s="110">
        <v>1160126.1599999999</v>
      </c>
      <c r="G2523" s="110">
        <v>1158508.44</v>
      </c>
      <c r="I2523" s="110">
        <v>26773.81</v>
      </c>
      <c r="J2523" s="110">
        <v>46266.23</v>
      </c>
      <c r="K2523" s="110">
        <v>69572.990000000005</v>
      </c>
      <c r="L2523" s="110">
        <v>83975.71</v>
      </c>
    </row>
    <row r="2524" spans="1:12" x14ac:dyDescent="0.2">
      <c r="A2524" t="s">
        <v>64</v>
      </c>
      <c r="B2524" t="s">
        <v>104</v>
      </c>
      <c r="C2524" t="s">
        <v>192</v>
      </c>
      <c r="D2524" s="110">
        <v>1251398.22</v>
      </c>
      <c r="E2524" s="110">
        <v>1248682.25</v>
      </c>
      <c r="F2524" s="110">
        <v>1246966.25</v>
      </c>
      <c r="I2524" s="110">
        <v>34536.080000000002</v>
      </c>
      <c r="J2524" s="110">
        <v>59198.720000000001</v>
      </c>
      <c r="K2524" s="110">
        <v>76389.960000000006</v>
      </c>
    </row>
    <row r="2525" spans="1:12" x14ac:dyDescent="0.2">
      <c r="A2525" t="s">
        <v>64</v>
      </c>
      <c r="B2525" t="s">
        <v>104</v>
      </c>
      <c r="C2525" t="s">
        <v>193</v>
      </c>
      <c r="D2525" s="110">
        <v>1102499.58</v>
      </c>
      <c r="E2525" s="110">
        <v>1097471.58</v>
      </c>
      <c r="I2525" s="110">
        <v>27618.61</v>
      </c>
      <c r="J2525" s="110">
        <v>45557.81</v>
      </c>
    </row>
    <row r="2526" spans="1:12" x14ac:dyDescent="0.2">
      <c r="A2526" t="s">
        <v>64</v>
      </c>
      <c r="B2526" t="s">
        <v>104</v>
      </c>
      <c r="C2526" t="s">
        <v>194</v>
      </c>
      <c r="D2526" s="110">
        <v>1506159.99</v>
      </c>
      <c r="I2526" s="110">
        <v>28518.54</v>
      </c>
    </row>
    <row r="2527" spans="1:12" x14ac:dyDescent="0.2">
      <c r="A2527" t="s">
        <v>64</v>
      </c>
      <c r="B2527" t="s">
        <v>140</v>
      </c>
      <c r="C2527" t="s">
        <v>191</v>
      </c>
      <c r="D2527" s="110">
        <v>125253.74</v>
      </c>
      <c r="E2527" s="110">
        <v>125253.74</v>
      </c>
      <c r="F2527" s="110">
        <v>125253.74</v>
      </c>
      <c r="G2527" s="110">
        <v>125303.74</v>
      </c>
      <c r="L2527" s="110">
        <v>454.57</v>
      </c>
    </row>
    <row r="2528" spans="1:12" x14ac:dyDescent="0.2">
      <c r="A2528" t="s">
        <v>64</v>
      </c>
      <c r="B2528" t="s">
        <v>140</v>
      </c>
      <c r="C2528" t="s">
        <v>192</v>
      </c>
      <c r="D2528" s="110">
        <v>192654.25</v>
      </c>
      <c r="E2528" s="110">
        <v>192704.25</v>
      </c>
      <c r="F2528" s="110">
        <v>192704.25</v>
      </c>
      <c r="J2528" s="110">
        <v>13.13</v>
      </c>
      <c r="K2528" s="110">
        <v>13.13</v>
      </c>
    </row>
    <row r="2529" spans="1:12" x14ac:dyDescent="0.2">
      <c r="A2529" t="s">
        <v>64</v>
      </c>
      <c r="B2529" t="s">
        <v>140</v>
      </c>
      <c r="C2529" t="s">
        <v>193</v>
      </c>
      <c r="D2529" s="110">
        <v>120500.13</v>
      </c>
      <c r="E2529" s="110">
        <v>120500.13</v>
      </c>
      <c r="I2529" s="110">
        <v>15.87</v>
      </c>
      <c r="J2529" s="110">
        <v>89.83</v>
      </c>
    </row>
    <row r="2530" spans="1:12" x14ac:dyDescent="0.2">
      <c r="A2530" t="s">
        <v>64</v>
      </c>
      <c r="B2530" t="s">
        <v>140</v>
      </c>
      <c r="C2530" t="s">
        <v>194</v>
      </c>
      <c r="D2530" s="110">
        <v>488196.59</v>
      </c>
    </row>
    <row r="2531" spans="1:12" x14ac:dyDescent="0.2">
      <c r="A2531" t="s">
        <v>64</v>
      </c>
      <c r="B2531" t="s">
        <v>105</v>
      </c>
      <c r="C2531" t="s">
        <v>191</v>
      </c>
      <c r="D2531" s="110">
        <v>785145.9</v>
      </c>
      <c r="E2531" s="110">
        <v>770812.4</v>
      </c>
      <c r="F2531" s="110">
        <v>764700.4</v>
      </c>
      <c r="G2531" s="110">
        <v>762240.9</v>
      </c>
      <c r="I2531" s="110">
        <v>132017.99</v>
      </c>
      <c r="J2531" s="110">
        <v>194534.37</v>
      </c>
      <c r="K2531" s="110">
        <v>224848.5</v>
      </c>
      <c r="L2531" s="110">
        <v>238627.22</v>
      </c>
    </row>
    <row r="2532" spans="1:12" x14ac:dyDescent="0.2">
      <c r="A2532" t="s">
        <v>64</v>
      </c>
      <c r="B2532" t="s">
        <v>105</v>
      </c>
      <c r="C2532" t="s">
        <v>192</v>
      </c>
      <c r="D2532" s="110">
        <v>799691.34</v>
      </c>
      <c r="E2532" s="110">
        <v>781696.34</v>
      </c>
      <c r="F2532" s="110">
        <v>778379.34</v>
      </c>
      <c r="I2532" s="110">
        <v>183937.94</v>
      </c>
      <c r="J2532" s="110">
        <v>246421.78</v>
      </c>
      <c r="K2532" s="110">
        <v>275784.59000000003</v>
      </c>
    </row>
    <row r="2533" spans="1:12" x14ac:dyDescent="0.2">
      <c r="A2533" t="s">
        <v>64</v>
      </c>
      <c r="B2533" t="s">
        <v>105</v>
      </c>
      <c r="C2533" t="s">
        <v>193</v>
      </c>
      <c r="D2533" s="110">
        <v>788386.55</v>
      </c>
      <c r="E2533" s="110">
        <v>779826</v>
      </c>
      <c r="I2533" s="110">
        <v>205186.7</v>
      </c>
      <c r="J2533" s="110">
        <v>250521.84</v>
      </c>
    </row>
    <row r="2534" spans="1:12" x14ac:dyDescent="0.2">
      <c r="A2534" t="s">
        <v>64</v>
      </c>
      <c r="B2534" t="s">
        <v>105</v>
      </c>
      <c r="C2534" t="s">
        <v>194</v>
      </c>
      <c r="D2534" s="110">
        <v>764037.49</v>
      </c>
      <c r="I2534" s="110">
        <v>114405.64</v>
      </c>
    </row>
    <row r="2535" spans="1:12" x14ac:dyDescent="0.2">
      <c r="A2535" t="s">
        <v>64</v>
      </c>
      <c r="B2535" t="s">
        <v>111</v>
      </c>
      <c r="C2535" t="s">
        <v>191</v>
      </c>
      <c r="D2535" s="110">
        <v>31866.5</v>
      </c>
      <c r="E2535" s="110">
        <v>31666.5</v>
      </c>
      <c r="F2535" s="110">
        <v>31413.5</v>
      </c>
      <c r="G2535" s="110">
        <v>31413.5</v>
      </c>
      <c r="I2535" s="110">
        <v>598.5</v>
      </c>
      <c r="J2535" s="110">
        <v>1373.5</v>
      </c>
      <c r="K2535" s="110">
        <v>1516.5</v>
      </c>
      <c r="L2535" s="110">
        <v>1619.5</v>
      </c>
    </row>
    <row r="2536" spans="1:12" x14ac:dyDescent="0.2">
      <c r="A2536" t="s">
        <v>64</v>
      </c>
      <c r="B2536" t="s">
        <v>111</v>
      </c>
      <c r="C2536" t="s">
        <v>192</v>
      </c>
      <c r="D2536" s="110">
        <v>36358.94</v>
      </c>
      <c r="E2536" s="110">
        <v>34121.94</v>
      </c>
      <c r="F2536" s="110">
        <v>34121.94</v>
      </c>
      <c r="I2536" s="110">
        <v>1729.94</v>
      </c>
      <c r="J2536" s="110">
        <v>2913.94</v>
      </c>
      <c r="K2536" s="110">
        <v>3169.94</v>
      </c>
    </row>
    <row r="2537" spans="1:12" x14ac:dyDescent="0.2">
      <c r="A2537" t="s">
        <v>64</v>
      </c>
      <c r="B2537" t="s">
        <v>111</v>
      </c>
      <c r="C2537" t="s">
        <v>193</v>
      </c>
      <c r="D2537" s="110">
        <v>32435.5</v>
      </c>
      <c r="E2537" s="110">
        <v>31659.5</v>
      </c>
      <c r="I2537" s="110">
        <v>1193.5</v>
      </c>
      <c r="J2537" s="110">
        <v>1664.5</v>
      </c>
    </row>
    <row r="2538" spans="1:12" x14ac:dyDescent="0.2">
      <c r="A2538" t="s">
        <v>64</v>
      </c>
      <c r="B2538" t="s">
        <v>111</v>
      </c>
      <c r="C2538" t="s">
        <v>194</v>
      </c>
      <c r="D2538" s="110">
        <v>23717</v>
      </c>
      <c r="I2538" s="110">
        <v>894</v>
      </c>
    </row>
    <row r="2539" spans="1:12" x14ac:dyDescent="0.2">
      <c r="A2539" t="s">
        <v>64</v>
      </c>
      <c r="B2539" t="s">
        <v>109</v>
      </c>
      <c r="C2539" t="s">
        <v>191</v>
      </c>
      <c r="D2539" s="110">
        <v>635188.06000000006</v>
      </c>
      <c r="E2539" s="110">
        <v>494604.34</v>
      </c>
      <c r="F2539" s="110">
        <v>473622.34</v>
      </c>
      <c r="G2539" s="110">
        <v>462492.34</v>
      </c>
      <c r="I2539" s="110">
        <v>164269.22</v>
      </c>
      <c r="J2539" s="110">
        <v>237824.1</v>
      </c>
      <c r="K2539" s="110">
        <v>266733.71999999997</v>
      </c>
      <c r="L2539" s="110">
        <v>280533.58</v>
      </c>
    </row>
    <row r="2540" spans="1:12" x14ac:dyDescent="0.2">
      <c r="A2540" t="s">
        <v>64</v>
      </c>
      <c r="B2540" t="s">
        <v>109</v>
      </c>
      <c r="C2540" t="s">
        <v>192</v>
      </c>
      <c r="D2540" s="110">
        <v>705612.32</v>
      </c>
      <c r="E2540" s="110">
        <v>572866.6</v>
      </c>
      <c r="F2540" s="110">
        <v>551824.9</v>
      </c>
      <c r="I2540" s="110">
        <v>203507.73</v>
      </c>
      <c r="J2540" s="110">
        <v>275281.96000000002</v>
      </c>
      <c r="K2540" s="110">
        <v>316471.53999999998</v>
      </c>
    </row>
    <row r="2541" spans="1:12" x14ac:dyDescent="0.2">
      <c r="A2541" t="s">
        <v>64</v>
      </c>
      <c r="B2541" t="s">
        <v>109</v>
      </c>
      <c r="C2541" t="s">
        <v>193</v>
      </c>
      <c r="D2541" s="110">
        <v>653706</v>
      </c>
      <c r="E2541" s="110">
        <v>525777.5</v>
      </c>
      <c r="I2541" s="110">
        <v>154350.34</v>
      </c>
      <c r="J2541" s="110">
        <v>235126.35</v>
      </c>
    </row>
    <row r="2542" spans="1:12" x14ac:dyDescent="0.2">
      <c r="A2542" t="s">
        <v>64</v>
      </c>
      <c r="B2542" t="s">
        <v>109</v>
      </c>
      <c r="C2542" t="s">
        <v>194</v>
      </c>
      <c r="D2542" s="110">
        <v>601757.92000000004</v>
      </c>
      <c r="I2542" s="110">
        <v>141625.65</v>
      </c>
    </row>
    <row r="2543" spans="1:12" x14ac:dyDescent="0.2">
      <c r="A2543" t="s">
        <v>64</v>
      </c>
      <c r="B2543" t="s">
        <v>106</v>
      </c>
      <c r="C2543" t="s">
        <v>191</v>
      </c>
      <c r="D2543" s="110">
        <v>650121.56999999995</v>
      </c>
      <c r="E2543" s="110">
        <v>644008.49</v>
      </c>
      <c r="F2543" s="110">
        <v>640253.49</v>
      </c>
      <c r="G2543" s="110">
        <v>638868.49</v>
      </c>
      <c r="I2543" s="110">
        <v>601827.97</v>
      </c>
      <c r="J2543" s="110">
        <v>635190.99</v>
      </c>
      <c r="K2543" s="110">
        <v>636329.49</v>
      </c>
      <c r="L2543" s="110">
        <v>634944.49</v>
      </c>
    </row>
    <row r="2544" spans="1:12" x14ac:dyDescent="0.2">
      <c r="A2544" t="s">
        <v>64</v>
      </c>
      <c r="B2544" t="s">
        <v>106</v>
      </c>
      <c r="C2544" t="s">
        <v>192</v>
      </c>
      <c r="D2544" s="110">
        <v>828594.03</v>
      </c>
      <c r="E2544" s="110">
        <v>822590.18</v>
      </c>
      <c r="F2544" s="110">
        <v>818202.68</v>
      </c>
      <c r="I2544" s="110">
        <v>769985.61</v>
      </c>
      <c r="J2544" s="110">
        <v>815558.18</v>
      </c>
      <c r="K2544" s="110">
        <v>815177.18</v>
      </c>
    </row>
    <row r="2545" spans="1:12" x14ac:dyDescent="0.2">
      <c r="A2545" t="s">
        <v>64</v>
      </c>
      <c r="B2545" t="s">
        <v>106</v>
      </c>
      <c r="C2545" t="s">
        <v>193</v>
      </c>
      <c r="D2545" s="110">
        <v>1113400</v>
      </c>
      <c r="E2545" s="110">
        <v>1107361</v>
      </c>
      <c r="I2545" s="110">
        <v>1009531.71</v>
      </c>
      <c r="J2545" s="110">
        <v>1101477.28</v>
      </c>
    </row>
    <row r="2546" spans="1:12" x14ac:dyDescent="0.2">
      <c r="A2546" t="s">
        <v>64</v>
      </c>
      <c r="B2546" t="s">
        <v>106</v>
      </c>
      <c r="C2546" t="s">
        <v>194</v>
      </c>
      <c r="D2546" s="110">
        <v>880316.25</v>
      </c>
      <c r="I2546" s="110">
        <v>813340.41</v>
      </c>
    </row>
    <row r="2547" spans="1:12" x14ac:dyDescent="0.2">
      <c r="A2547" t="s">
        <v>64</v>
      </c>
      <c r="B2547" t="s">
        <v>107</v>
      </c>
      <c r="C2547" t="s">
        <v>191</v>
      </c>
      <c r="D2547" s="110">
        <v>671485.5</v>
      </c>
      <c r="E2547" s="110">
        <v>669900.5</v>
      </c>
      <c r="F2547" s="110">
        <v>666694.5</v>
      </c>
      <c r="G2547" s="110">
        <v>666694.5</v>
      </c>
      <c r="I2547" s="110">
        <v>627656.05000000005</v>
      </c>
      <c r="J2547" s="110">
        <v>664395.44999999995</v>
      </c>
      <c r="K2547" s="110">
        <v>664553.31000000006</v>
      </c>
      <c r="L2547" s="110">
        <v>664930.38</v>
      </c>
    </row>
    <row r="2548" spans="1:12" x14ac:dyDescent="0.2">
      <c r="A2548" t="s">
        <v>64</v>
      </c>
      <c r="B2548" t="s">
        <v>107</v>
      </c>
      <c r="C2548" t="s">
        <v>192</v>
      </c>
      <c r="D2548" s="110">
        <v>696002.17</v>
      </c>
      <c r="E2548" s="110">
        <v>693874.33</v>
      </c>
      <c r="F2548" s="110">
        <v>691730.33</v>
      </c>
      <c r="I2548" s="110">
        <v>660859.77</v>
      </c>
      <c r="J2548" s="110">
        <v>690573.77</v>
      </c>
      <c r="K2548" s="110">
        <v>690661.67</v>
      </c>
    </row>
    <row r="2549" spans="1:12" x14ac:dyDescent="0.2">
      <c r="A2549" t="s">
        <v>64</v>
      </c>
      <c r="B2549" t="s">
        <v>107</v>
      </c>
      <c r="C2549" t="s">
        <v>193</v>
      </c>
      <c r="D2549" s="110">
        <v>970620.44</v>
      </c>
      <c r="E2549" s="110">
        <v>860649.84</v>
      </c>
      <c r="I2549" s="110">
        <v>899655.04</v>
      </c>
      <c r="J2549" s="110">
        <v>859326.89</v>
      </c>
    </row>
    <row r="2550" spans="1:12" x14ac:dyDescent="0.2">
      <c r="A2550" t="s">
        <v>64</v>
      </c>
      <c r="B2550" t="s">
        <v>107</v>
      </c>
      <c r="C2550" t="s">
        <v>194</v>
      </c>
      <c r="D2550" s="110">
        <v>796007.87</v>
      </c>
      <c r="I2550" s="110">
        <v>735517.67</v>
      </c>
    </row>
    <row r="2551" spans="1:12" x14ac:dyDescent="0.2">
      <c r="A2551" t="s">
        <v>64</v>
      </c>
      <c r="B2551" t="s">
        <v>108</v>
      </c>
      <c r="C2551" t="s">
        <v>191</v>
      </c>
      <c r="D2551" s="110">
        <v>231747.96</v>
      </c>
      <c r="E2551" s="110">
        <v>230679.46</v>
      </c>
      <c r="F2551" s="110">
        <v>230229.46</v>
      </c>
      <c r="G2551" s="110">
        <v>229880.46</v>
      </c>
      <c r="I2551" s="110">
        <v>219504.46</v>
      </c>
      <c r="J2551" s="110">
        <v>228934.46</v>
      </c>
      <c r="K2551" s="110">
        <v>228849.46</v>
      </c>
      <c r="L2551" s="110">
        <v>228504.46</v>
      </c>
    </row>
    <row r="2552" spans="1:12" x14ac:dyDescent="0.2">
      <c r="A2552" t="s">
        <v>64</v>
      </c>
      <c r="B2552" t="s">
        <v>108</v>
      </c>
      <c r="C2552" t="s">
        <v>192</v>
      </c>
      <c r="D2552" s="110">
        <v>256096.66</v>
      </c>
      <c r="E2552" s="110">
        <v>254461.66</v>
      </c>
      <c r="F2552" s="110">
        <v>254116.66</v>
      </c>
      <c r="I2552" s="110">
        <v>239068.66</v>
      </c>
      <c r="J2552" s="110">
        <v>253404.66</v>
      </c>
      <c r="K2552" s="110">
        <v>253309.66</v>
      </c>
    </row>
    <row r="2553" spans="1:12" x14ac:dyDescent="0.2">
      <c r="A2553" t="s">
        <v>64</v>
      </c>
      <c r="B2553" t="s">
        <v>108</v>
      </c>
      <c r="C2553" t="s">
        <v>193</v>
      </c>
      <c r="D2553" s="110">
        <v>258907.81</v>
      </c>
      <c r="E2553" s="110">
        <v>257619.81</v>
      </c>
      <c r="I2553" s="110">
        <v>236662.81</v>
      </c>
      <c r="J2553" s="110">
        <v>255129.81</v>
      </c>
    </row>
    <row r="2554" spans="1:12" x14ac:dyDescent="0.2">
      <c r="A2554" t="s">
        <v>64</v>
      </c>
      <c r="B2554" t="s">
        <v>108</v>
      </c>
      <c r="C2554" t="s">
        <v>194</v>
      </c>
      <c r="D2554" s="110">
        <v>244541.76</v>
      </c>
      <c r="I2554" s="110">
        <v>229001.76</v>
      </c>
    </row>
    <row r="2555" spans="1:12" x14ac:dyDescent="0.2">
      <c r="A2555" t="s">
        <v>64</v>
      </c>
      <c r="B2555" t="s">
        <v>70</v>
      </c>
      <c r="C2555" t="s">
        <v>191</v>
      </c>
      <c r="D2555" s="110">
        <v>227517.4</v>
      </c>
      <c r="E2555" s="110">
        <v>224973.4</v>
      </c>
      <c r="F2555" s="110">
        <v>224628.4</v>
      </c>
      <c r="G2555" s="110">
        <v>224928.4</v>
      </c>
      <c r="I2555" s="110">
        <v>210655.17</v>
      </c>
      <c r="J2555" s="110">
        <v>214815.17</v>
      </c>
      <c r="K2555" s="110">
        <v>215309.9</v>
      </c>
      <c r="L2555" s="110">
        <v>215449.9</v>
      </c>
    </row>
    <row r="2556" spans="1:12" x14ac:dyDescent="0.2">
      <c r="A2556" t="s">
        <v>64</v>
      </c>
      <c r="B2556" t="s">
        <v>70</v>
      </c>
      <c r="C2556" t="s">
        <v>192</v>
      </c>
      <c r="D2556" s="110">
        <v>263595.96000000002</v>
      </c>
      <c r="E2556" s="110">
        <v>262371.40000000002</v>
      </c>
      <c r="F2556" s="110">
        <v>262371.40000000002</v>
      </c>
      <c r="I2556" s="110">
        <v>248515.12</v>
      </c>
      <c r="J2556" s="110">
        <v>256643.56</v>
      </c>
      <c r="K2556" s="110">
        <v>256842.9</v>
      </c>
    </row>
    <row r="2557" spans="1:12" x14ac:dyDescent="0.2">
      <c r="A2557" t="s">
        <v>64</v>
      </c>
      <c r="B2557" t="s">
        <v>70</v>
      </c>
      <c r="C2557" t="s">
        <v>193</v>
      </c>
      <c r="D2557" s="110">
        <v>256183.45</v>
      </c>
      <c r="E2557" s="110">
        <v>255076.95</v>
      </c>
      <c r="I2557" s="110">
        <v>233420.9</v>
      </c>
      <c r="J2557" s="110">
        <v>244977.54</v>
      </c>
    </row>
    <row r="2558" spans="1:12" x14ac:dyDescent="0.2">
      <c r="A2558" t="s">
        <v>64</v>
      </c>
      <c r="B2558" t="s">
        <v>70</v>
      </c>
      <c r="C2558" t="s">
        <v>194</v>
      </c>
      <c r="D2558" s="110">
        <v>242098.06</v>
      </c>
      <c r="I2558" s="110">
        <v>224771.56</v>
      </c>
    </row>
    <row r="2559" spans="1:12" x14ac:dyDescent="0.2">
      <c r="A2559" t="s">
        <v>64</v>
      </c>
      <c r="B2559" t="s">
        <v>110</v>
      </c>
      <c r="C2559" t="s">
        <v>191</v>
      </c>
      <c r="D2559" s="110">
        <v>1723728</v>
      </c>
      <c r="E2559" s="110">
        <v>1418444.65</v>
      </c>
      <c r="F2559" s="110">
        <v>1409857.65</v>
      </c>
      <c r="G2559" s="110">
        <v>1406438.65</v>
      </c>
      <c r="I2559" s="110">
        <v>762904.35</v>
      </c>
      <c r="J2559" s="110">
        <v>1167049.6499999999</v>
      </c>
      <c r="K2559" s="110">
        <v>1255186.1499999999</v>
      </c>
      <c r="L2559" s="110">
        <v>1283348.51</v>
      </c>
    </row>
    <row r="2560" spans="1:12" x14ac:dyDescent="0.2">
      <c r="A2560" t="s">
        <v>64</v>
      </c>
      <c r="B2560" t="s">
        <v>110</v>
      </c>
      <c r="C2560" t="s">
        <v>192</v>
      </c>
      <c r="D2560" s="110">
        <v>1821775.25</v>
      </c>
      <c r="E2560" s="110">
        <v>1519022.7</v>
      </c>
      <c r="F2560" s="110">
        <v>1506697.2</v>
      </c>
      <c r="I2560" s="110">
        <v>971932.45</v>
      </c>
      <c r="J2560" s="110">
        <v>1256879.7</v>
      </c>
      <c r="K2560" s="110">
        <v>1351656.13</v>
      </c>
    </row>
    <row r="2561" spans="1:12" x14ac:dyDescent="0.2">
      <c r="A2561" t="s">
        <v>64</v>
      </c>
      <c r="B2561" t="s">
        <v>110</v>
      </c>
      <c r="C2561" t="s">
        <v>193</v>
      </c>
      <c r="D2561" s="110">
        <v>2261521.75</v>
      </c>
      <c r="E2561" s="110">
        <v>1911564.3</v>
      </c>
      <c r="I2561" s="110">
        <v>1052937.1499999999</v>
      </c>
      <c r="J2561" s="110">
        <v>1536472.98</v>
      </c>
    </row>
    <row r="2562" spans="1:12" x14ac:dyDescent="0.2">
      <c r="A2562" t="s">
        <v>64</v>
      </c>
      <c r="B2562" t="s">
        <v>110</v>
      </c>
      <c r="C2562" t="s">
        <v>194</v>
      </c>
      <c r="D2562" s="110">
        <v>2049403</v>
      </c>
      <c r="I2562" s="110">
        <v>1001854.14</v>
      </c>
    </row>
    <row r="2563" spans="1:12" x14ac:dyDescent="0.2">
      <c r="A2563" t="s">
        <v>65</v>
      </c>
      <c r="B2563" t="s">
        <v>104</v>
      </c>
      <c r="C2563" t="s">
        <v>191</v>
      </c>
      <c r="D2563" s="110">
        <v>80446</v>
      </c>
      <c r="E2563" s="110">
        <v>80286</v>
      </c>
      <c r="F2563" s="110">
        <v>80286</v>
      </c>
      <c r="G2563" s="110">
        <v>80286</v>
      </c>
      <c r="I2563" s="110">
        <v>3935</v>
      </c>
      <c r="J2563" s="110">
        <v>7378</v>
      </c>
      <c r="K2563" s="110">
        <v>9284</v>
      </c>
      <c r="L2563" s="110">
        <v>10569</v>
      </c>
    </row>
    <row r="2564" spans="1:12" x14ac:dyDescent="0.2">
      <c r="A2564" t="s">
        <v>65</v>
      </c>
      <c r="B2564" t="s">
        <v>104</v>
      </c>
      <c r="C2564" t="s">
        <v>192</v>
      </c>
      <c r="D2564" s="110">
        <v>87600</v>
      </c>
      <c r="E2564" s="110">
        <v>87593</v>
      </c>
      <c r="F2564" s="110">
        <v>87593</v>
      </c>
      <c r="I2564" s="110">
        <v>2226</v>
      </c>
      <c r="J2564" s="110">
        <v>4466</v>
      </c>
      <c r="K2564" s="110">
        <v>6896</v>
      </c>
    </row>
    <row r="2565" spans="1:12" x14ac:dyDescent="0.2">
      <c r="A2565" t="s">
        <v>65</v>
      </c>
      <c r="B2565" t="s">
        <v>104</v>
      </c>
      <c r="C2565" t="s">
        <v>193</v>
      </c>
      <c r="D2565" s="110">
        <v>165594</v>
      </c>
      <c r="E2565" s="110">
        <v>165594</v>
      </c>
      <c r="I2565" s="110">
        <v>3230</v>
      </c>
      <c r="J2565" s="110">
        <v>6559.5</v>
      </c>
    </row>
    <row r="2566" spans="1:12" x14ac:dyDescent="0.2">
      <c r="A2566" t="s">
        <v>65</v>
      </c>
      <c r="B2566" t="s">
        <v>104</v>
      </c>
      <c r="C2566" t="s">
        <v>194</v>
      </c>
      <c r="D2566" s="110">
        <v>50491</v>
      </c>
      <c r="I2566" s="110">
        <v>967</v>
      </c>
    </row>
    <row r="2567" spans="1:12" x14ac:dyDescent="0.2">
      <c r="A2567" t="s">
        <v>65</v>
      </c>
      <c r="B2567" t="s">
        <v>140</v>
      </c>
      <c r="C2567" t="s">
        <v>191</v>
      </c>
    </row>
    <row r="2568" spans="1:12" x14ac:dyDescent="0.2">
      <c r="A2568" t="s">
        <v>65</v>
      </c>
      <c r="B2568" t="s">
        <v>140</v>
      </c>
      <c r="C2568" t="s">
        <v>192</v>
      </c>
      <c r="D2568" s="110">
        <v>2765</v>
      </c>
      <c r="E2568" s="110">
        <v>2765</v>
      </c>
      <c r="F2568" s="110">
        <v>2765</v>
      </c>
    </row>
    <row r="2569" spans="1:12" x14ac:dyDescent="0.2">
      <c r="A2569" t="s">
        <v>65</v>
      </c>
      <c r="B2569" t="s">
        <v>140</v>
      </c>
      <c r="C2569" t="s">
        <v>193</v>
      </c>
      <c r="D2569" s="110">
        <v>7</v>
      </c>
      <c r="E2569" s="110">
        <v>7</v>
      </c>
      <c r="I2569" s="110">
        <v>7</v>
      </c>
      <c r="J2569" s="110">
        <v>7</v>
      </c>
    </row>
    <row r="2570" spans="1:12" x14ac:dyDescent="0.2">
      <c r="A2570" t="s">
        <v>65</v>
      </c>
      <c r="B2570" t="s">
        <v>140</v>
      </c>
      <c r="C2570" t="s">
        <v>194</v>
      </c>
    </row>
    <row r="2571" spans="1:12" x14ac:dyDescent="0.2">
      <c r="A2571" t="s">
        <v>65</v>
      </c>
      <c r="B2571" t="s">
        <v>105</v>
      </c>
      <c r="C2571" t="s">
        <v>191</v>
      </c>
      <c r="D2571" s="110">
        <v>21929.599999999999</v>
      </c>
      <c r="E2571" s="110">
        <v>21919.599999999999</v>
      </c>
      <c r="F2571" s="110">
        <v>21594.6</v>
      </c>
      <c r="G2571" s="110">
        <v>21594.6</v>
      </c>
      <c r="I2571" s="110">
        <v>3989.6</v>
      </c>
      <c r="J2571" s="110">
        <v>9224.6</v>
      </c>
      <c r="K2571" s="110">
        <v>10975.99</v>
      </c>
      <c r="L2571" s="110">
        <v>11722.99</v>
      </c>
    </row>
    <row r="2572" spans="1:12" x14ac:dyDescent="0.2">
      <c r="A2572" t="s">
        <v>65</v>
      </c>
      <c r="B2572" t="s">
        <v>105</v>
      </c>
      <c r="C2572" t="s">
        <v>192</v>
      </c>
      <c r="D2572" s="110">
        <v>23598.25</v>
      </c>
      <c r="E2572" s="110">
        <v>22885.5</v>
      </c>
      <c r="F2572" s="110">
        <v>22885.5</v>
      </c>
      <c r="I2572" s="110">
        <v>4283</v>
      </c>
      <c r="J2572" s="110">
        <v>6664</v>
      </c>
      <c r="K2572" s="110">
        <v>7846</v>
      </c>
    </row>
    <row r="2573" spans="1:12" x14ac:dyDescent="0.2">
      <c r="A2573" t="s">
        <v>65</v>
      </c>
      <c r="B2573" t="s">
        <v>105</v>
      </c>
      <c r="C2573" t="s">
        <v>193</v>
      </c>
      <c r="D2573" s="110">
        <v>21588</v>
      </c>
      <c r="E2573" s="110">
        <v>20945.93</v>
      </c>
      <c r="I2573" s="110">
        <v>5178.99</v>
      </c>
      <c r="J2573" s="110">
        <v>7466.99</v>
      </c>
    </row>
    <row r="2574" spans="1:12" x14ac:dyDescent="0.2">
      <c r="A2574" t="s">
        <v>65</v>
      </c>
      <c r="B2574" t="s">
        <v>105</v>
      </c>
      <c r="C2574" t="s">
        <v>194</v>
      </c>
      <c r="D2574" s="110">
        <v>19826.5</v>
      </c>
      <c r="I2574" s="110">
        <v>2857.98</v>
      </c>
    </row>
    <row r="2575" spans="1:12" x14ac:dyDescent="0.2">
      <c r="A2575" t="s">
        <v>65</v>
      </c>
      <c r="B2575" t="s">
        <v>111</v>
      </c>
      <c r="C2575" t="s">
        <v>191</v>
      </c>
      <c r="D2575" s="110">
        <v>1420</v>
      </c>
      <c r="E2575" s="110">
        <v>1476</v>
      </c>
      <c r="F2575" s="110">
        <v>1426</v>
      </c>
      <c r="G2575" s="110">
        <v>1076</v>
      </c>
      <c r="I2575" s="110">
        <v>35</v>
      </c>
      <c r="J2575" s="110">
        <v>375</v>
      </c>
      <c r="K2575" s="110">
        <v>375</v>
      </c>
      <c r="L2575" s="110">
        <v>375</v>
      </c>
    </row>
    <row r="2576" spans="1:12" x14ac:dyDescent="0.2">
      <c r="A2576" t="s">
        <v>65</v>
      </c>
      <c r="B2576" t="s">
        <v>111</v>
      </c>
      <c r="C2576" t="s">
        <v>192</v>
      </c>
      <c r="D2576" s="110">
        <v>1300</v>
      </c>
      <c r="E2576" s="110">
        <v>1250</v>
      </c>
      <c r="F2576" s="110">
        <v>1250</v>
      </c>
      <c r="I2576" s="110">
        <v>150</v>
      </c>
      <c r="J2576" s="110">
        <v>150</v>
      </c>
      <c r="K2576" s="110">
        <v>200</v>
      </c>
    </row>
    <row r="2577" spans="1:12" x14ac:dyDescent="0.2">
      <c r="A2577" t="s">
        <v>65</v>
      </c>
      <c r="B2577" t="s">
        <v>111</v>
      </c>
      <c r="C2577" t="s">
        <v>193</v>
      </c>
      <c r="D2577" s="110">
        <v>1601</v>
      </c>
      <c r="E2577" s="110">
        <v>1601</v>
      </c>
      <c r="J2577" s="110">
        <v>250</v>
      </c>
    </row>
    <row r="2578" spans="1:12" x14ac:dyDescent="0.2">
      <c r="A2578" t="s">
        <v>65</v>
      </c>
      <c r="B2578" t="s">
        <v>111</v>
      </c>
      <c r="C2578" t="s">
        <v>194</v>
      </c>
      <c r="D2578" s="110">
        <v>1020</v>
      </c>
    </row>
    <row r="2579" spans="1:12" x14ac:dyDescent="0.2">
      <c r="A2579" t="s">
        <v>65</v>
      </c>
      <c r="B2579" t="s">
        <v>109</v>
      </c>
      <c r="C2579" t="s">
        <v>191</v>
      </c>
      <c r="D2579" s="110">
        <v>20388.2</v>
      </c>
      <c r="E2579" s="110">
        <v>20288.2</v>
      </c>
      <c r="F2579" s="110">
        <v>20288.2</v>
      </c>
      <c r="G2579" s="110">
        <v>19938.2</v>
      </c>
      <c r="I2579" s="110">
        <v>1404.2</v>
      </c>
      <c r="J2579" s="110">
        <v>3616.2</v>
      </c>
      <c r="K2579" s="110">
        <v>4494.2</v>
      </c>
      <c r="L2579" s="110">
        <v>4910.2</v>
      </c>
    </row>
    <row r="2580" spans="1:12" x14ac:dyDescent="0.2">
      <c r="A2580" t="s">
        <v>65</v>
      </c>
      <c r="B2580" t="s">
        <v>109</v>
      </c>
      <c r="C2580" t="s">
        <v>192</v>
      </c>
      <c r="D2580" s="110">
        <v>22752.99</v>
      </c>
      <c r="E2580" s="110">
        <v>22752.99</v>
      </c>
      <c r="F2580" s="110">
        <v>22645.74</v>
      </c>
      <c r="I2580" s="110">
        <v>4543.99</v>
      </c>
      <c r="J2580" s="110">
        <v>7684.49</v>
      </c>
      <c r="K2580" s="110">
        <v>9605.49</v>
      </c>
    </row>
    <row r="2581" spans="1:12" x14ac:dyDescent="0.2">
      <c r="A2581" t="s">
        <v>65</v>
      </c>
      <c r="B2581" t="s">
        <v>109</v>
      </c>
      <c r="C2581" t="s">
        <v>193</v>
      </c>
      <c r="D2581" s="110">
        <v>27944.5</v>
      </c>
      <c r="E2581" s="110">
        <v>27794.5</v>
      </c>
      <c r="I2581" s="110">
        <v>843</v>
      </c>
      <c r="J2581" s="110">
        <v>2775</v>
      </c>
    </row>
    <row r="2582" spans="1:12" x14ac:dyDescent="0.2">
      <c r="A2582" t="s">
        <v>65</v>
      </c>
      <c r="B2582" t="s">
        <v>109</v>
      </c>
      <c r="C2582" t="s">
        <v>194</v>
      </c>
      <c r="D2582" s="110">
        <v>15180.5</v>
      </c>
      <c r="I2582" s="110">
        <v>3293.5</v>
      </c>
    </row>
    <row r="2583" spans="1:12" x14ac:dyDescent="0.2">
      <c r="A2583" t="s">
        <v>65</v>
      </c>
      <c r="B2583" t="s">
        <v>106</v>
      </c>
      <c r="C2583" t="s">
        <v>191</v>
      </c>
      <c r="D2583" s="110">
        <v>35673.5</v>
      </c>
      <c r="E2583" s="110">
        <v>35673.5</v>
      </c>
      <c r="F2583" s="110">
        <v>35673.5</v>
      </c>
      <c r="G2583" s="110">
        <v>35673.5</v>
      </c>
      <c r="I2583" s="110">
        <v>34613.5</v>
      </c>
      <c r="J2583" s="110">
        <v>35553.5</v>
      </c>
      <c r="K2583" s="110">
        <v>35553.5</v>
      </c>
      <c r="L2583" s="110">
        <v>35553.5</v>
      </c>
    </row>
    <row r="2584" spans="1:12" x14ac:dyDescent="0.2">
      <c r="A2584" t="s">
        <v>65</v>
      </c>
      <c r="B2584" t="s">
        <v>106</v>
      </c>
      <c r="C2584" t="s">
        <v>192</v>
      </c>
      <c r="D2584" s="110">
        <v>43502.5</v>
      </c>
      <c r="E2584" s="110">
        <v>43502.5</v>
      </c>
      <c r="F2584" s="110">
        <v>43502.5</v>
      </c>
      <c r="I2584" s="110">
        <v>42672.5</v>
      </c>
      <c r="J2584" s="110">
        <v>43102.5</v>
      </c>
      <c r="K2584" s="110">
        <v>43102.5</v>
      </c>
    </row>
    <row r="2585" spans="1:12" x14ac:dyDescent="0.2">
      <c r="A2585" t="s">
        <v>65</v>
      </c>
      <c r="B2585" t="s">
        <v>106</v>
      </c>
      <c r="C2585" t="s">
        <v>193</v>
      </c>
      <c r="D2585" s="110">
        <v>41476.879999999997</v>
      </c>
      <c r="E2585" s="110">
        <v>41476.879999999997</v>
      </c>
      <c r="I2585" s="110">
        <v>40128.879999999997</v>
      </c>
      <c r="J2585" s="110">
        <v>41072.879999999997</v>
      </c>
    </row>
    <row r="2586" spans="1:12" x14ac:dyDescent="0.2">
      <c r="A2586" t="s">
        <v>65</v>
      </c>
      <c r="B2586" t="s">
        <v>106</v>
      </c>
      <c r="C2586" t="s">
        <v>194</v>
      </c>
      <c r="D2586" s="110">
        <v>30026.5</v>
      </c>
      <c r="I2586" s="110">
        <v>29976.5</v>
      </c>
    </row>
    <row r="2587" spans="1:12" x14ac:dyDescent="0.2">
      <c r="A2587" t="s">
        <v>65</v>
      </c>
      <c r="B2587" t="s">
        <v>107</v>
      </c>
      <c r="C2587" t="s">
        <v>191</v>
      </c>
      <c r="D2587" s="110">
        <v>22182.25</v>
      </c>
      <c r="E2587" s="110">
        <v>22357.25</v>
      </c>
      <c r="F2587" s="110">
        <v>22357.25</v>
      </c>
      <c r="G2587" s="110">
        <v>22357.25</v>
      </c>
      <c r="I2587" s="110">
        <v>21597.25</v>
      </c>
      <c r="J2587" s="110">
        <v>21777.25</v>
      </c>
      <c r="K2587" s="110">
        <v>21777.25</v>
      </c>
      <c r="L2587" s="110">
        <v>21777.25</v>
      </c>
    </row>
    <row r="2588" spans="1:12" x14ac:dyDescent="0.2">
      <c r="A2588" t="s">
        <v>65</v>
      </c>
      <c r="B2588" t="s">
        <v>107</v>
      </c>
      <c r="C2588" t="s">
        <v>192</v>
      </c>
      <c r="D2588" s="110">
        <v>26166</v>
      </c>
      <c r="E2588" s="110">
        <v>26166</v>
      </c>
      <c r="F2588" s="110">
        <v>26166</v>
      </c>
      <c r="I2588" s="110">
        <v>24946</v>
      </c>
      <c r="J2588" s="110">
        <v>25971</v>
      </c>
      <c r="K2588" s="110">
        <v>25971</v>
      </c>
    </row>
    <row r="2589" spans="1:12" x14ac:dyDescent="0.2">
      <c r="A2589" t="s">
        <v>65</v>
      </c>
      <c r="B2589" t="s">
        <v>107</v>
      </c>
      <c r="C2589" t="s">
        <v>193</v>
      </c>
      <c r="D2589" s="110">
        <v>27376.7</v>
      </c>
      <c r="E2589" s="110">
        <v>27376.7</v>
      </c>
      <c r="I2589" s="110">
        <v>26506.7</v>
      </c>
      <c r="J2589" s="110">
        <v>26981.7</v>
      </c>
    </row>
    <row r="2590" spans="1:12" x14ac:dyDescent="0.2">
      <c r="A2590" t="s">
        <v>65</v>
      </c>
      <c r="B2590" t="s">
        <v>107</v>
      </c>
      <c r="C2590" t="s">
        <v>194</v>
      </c>
      <c r="D2590" s="110">
        <v>33280</v>
      </c>
      <c r="I2590" s="110">
        <v>32970</v>
      </c>
    </row>
    <row r="2591" spans="1:12" x14ac:dyDescent="0.2">
      <c r="A2591" t="s">
        <v>65</v>
      </c>
      <c r="B2591" t="s">
        <v>108</v>
      </c>
      <c r="C2591" t="s">
        <v>191</v>
      </c>
      <c r="D2591" s="110">
        <v>7919</v>
      </c>
      <c r="E2591" s="110">
        <v>7919</v>
      </c>
      <c r="F2591" s="110">
        <v>7919</v>
      </c>
      <c r="G2591" s="110">
        <v>7919</v>
      </c>
      <c r="I2591" s="110">
        <v>7919</v>
      </c>
      <c r="J2591" s="110">
        <v>7919</v>
      </c>
      <c r="K2591" s="110">
        <v>7919</v>
      </c>
      <c r="L2591" s="110">
        <v>7919</v>
      </c>
    </row>
    <row r="2592" spans="1:12" x14ac:dyDescent="0.2">
      <c r="A2592" t="s">
        <v>65</v>
      </c>
      <c r="B2592" t="s">
        <v>108</v>
      </c>
      <c r="C2592" t="s">
        <v>192</v>
      </c>
      <c r="D2592" s="110">
        <v>9192</v>
      </c>
      <c r="E2592" s="110">
        <v>9192</v>
      </c>
      <c r="F2592" s="110">
        <v>9192</v>
      </c>
      <c r="I2592" s="110">
        <v>8447</v>
      </c>
      <c r="J2592" s="110">
        <v>8847</v>
      </c>
      <c r="K2592" s="110">
        <v>8847</v>
      </c>
    </row>
    <row r="2593" spans="1:12" x14ac:dyDescent="0.2">
      <c r="A2593" t="s">
        <v>65</v>
      </c>
      <c r="B2593" t="s">
        <v>108</v>
      </c>
      <c r="C2593" t="s">
        <v>193</v>
      </c>
      <c r="D2593" s="110">
        <v>11244</v>
      </c>
      <c r="E2593" s="110">
        <v>10613</v>
      </c>
      <c r="I2593" s="110">
        <v>10382</v>
      </c>
      <c r="J2593" s="110">
        <v>10382</v>
      </c>
    </row>
    <row r="2594" spans="1:12" x14ac:dyDescent="0.2">
      <c r="A2594" t="s">
        <v>65</v>
      </c>
      <c r="B2594" t="s">
        <v>108</v>
      </c>
      <c r="C2594" t="s">
        <v>194</v>
      </c>
      <c r="D2594" s="110">
        <v>8164</v>
      </c>
      <c r="I2594" s="110">
        <v>7523</v>
      </c>
    </row>
    <row r="2595" spans="1:12" x14ac:dyDescent="0.2">
      <c r="A2595" t="s">
        <v>65</v>
      </c>
      <c r="B2595" t="s">
        <v>70</v>
      </c>
      <c r="C2595" t="s">
        <v>191</v>
      </c>
      <c r="D2595" s="110">
        <v>13764</v>
      </c>
      <c r="E2595" s="110">
        <v>13356</v>
      </c>
      <c r="F2595" s="110">
        <v>13356</v>
      </c>
      <c r="G2595" s="110">
        <v>13356</v>
      </c>
      <c r="I2595" s="110">
        <v>11726</v>
      </c>
      <c r="J2595" s="110">
        <v>11726</v>
      </c>
      <c r="K2595" s="110">
        <v>11726</v>
      </c>
      <c r="L2595" s="110">
        <v>11726</v>
      </c>
    </row>
    <row r="2596" spans="1:12" x14ac:dyDescent="0.2">
      <c r="A2596" t="s">
        <v>65</v>
      </c>
      <c r="B2596" t="s">
        <v>70</v>
      </c>
      <c r="C2596" t="s">
        <v>192</v>
      </c>
      <c r="D2596" s="110">
        <v>21327.3</v>
      </c>
      <c r="E2596" s="110">
        <v>20919.3</v>
      </c>
      <c r="F2596" s="110">
        <v>20919.3</v>
      </c>
      <c r="I2596" s="110">
        <v>19483.3</v>
      </c>
      <c r="J2596" s="110">
        <v>19483.3</v>
      </c>
      <c r="K2596" s="110">
        <v>19483.3</v>
      </c>
    </row>
    <row r="2597" spans="1:12" x14ac:dyDescent="0.2">
      <c r="A2597" t="s">
        <v>65</v>
      </c>
      <c r="B2597" t="s">
        <v>70</v>
      </c>
      <c r="C2597" t="s">
        <v>193</v>
      </c>
      <c r="D2597" s="110">
        <v>16087</v>
      </c>
      <c r="E2597" s="110">
        <v>16087</v>
      </c>
      <c r="I2597" s="110">
        <v>14863</v>
      </c>
      <c r="J2597" s="110">
        <v>15271</v>
      </c>
    </row>
    <row r="2598" spans="1:12" x14ac:dyDescent="0.2">
      <c r="A2598" t="s">
        <v>65</v>
      </c>
      <c r="B2598" t="s">
        <v>70</v>
      </c>
      <c r="C2598" t="s">
        <v>194</v>
      </c>
      <c r="D2598" s="110">
        <v>19507</v>
      </c>
      <c r="I2598" s="110">
        <v>17974</v>
      </c>
    </row>
    <row r="2599" spans="1:12" x14ac:dyDescent="0.2">
      <c r="A2599" t="s">
        <v>65</v>
      </c>
      <c r="B2599" t="s">
        <v>110</v>
      </c>
      <c r="C2599" t="s">
        <v>191</v>
      </c>
      <c r="D2599" s="110">
        <v>129063.4</v>
      </c>
      <c r="E2599" s="110">
        <v>124306.79</v>
      </c>
      <c r="F2599" s="110">
        <v>124699.79</v>
      </c>
      <c r="G2599" s="110">
        <v>124288.29</v>
      </c>
      <c r="I2599" s="110">
        <v>70828.899999999994</v>
      </c>
      <c r="J2599" s="110">
        <v>111275.79</v>
      </c>
      <c r="K2599" s="110">
        <v>114796.79</v>
      </c>
      <c r="L2599" s="110">
        <v>116029.79</v>
      </c>
    </row>
    <row r="2600" spans="1:12" x14ac:dyDescent="0.2">
      <c r="A2600" t="s">
        <v>65</v>
      </c>
      <c r="B2600" t="s">
        <v>110</v>
      </c>
      <c r="C2600" t="s">
        <v>192</v>
      </c>
      <c r="D2600" s="110">
        <v>105512.55</v>
      </c>
      <c r="E2600" s="110">
        <v>104620.8</v>
      </c>
      <c r="F2600" s="110">
        <v>104579.8</v>
      </c>
      <c r="I2600" s="110">
        <v>65547.3</v>
      </c>
      <c r="J2600" s="110">
        <v>91867.55</v>
      </c>
      <c r="K2600" s="110">
        <v>94237.8</v>
      </c>
    </row>
    <row r="2601" spans="1:12" x14ac:dyDescent="0.2">
      <c r="A2601" t="s">
        <v>65</v>
      </c>
      <c r="B2601" t="s">
        <v>110</v>
      </c>
      <c r="C2601" t="s">
        <v>193</v>
      </c>
      <c r="D2601" s="110">
        <v>122269.25</v>
      </c>
      <c r="E2601" s="110">
        <v>119886.15</v>
      </c>
      <c r="I2601" s="110">
        <v>67588.25</v>
      </c>
      <c r="J2601" s="110">
        <v>102591.65</v>
      </c>
    </row>
    <row r="2602" spans="1:12" x14ac:dyDescent="0.2">
      <c r="A2602" t="s">
        <v>65</v>
      </c>
      <c r="B2602" t="s">
        <v>110</v>
      </c>
      <c r="C2602" t="s">
        <v>194</v>
      </c>
      <c r="D2602" s="110">
        <v>129067.5</v>
      </c>
      <c r="I2602" s="110">
        <v>67831</v>
      </c>
    </row>
    <row r="2603" spans="1:12" x14ac:dyDescent="0.2">
      <c r="A2603" t="s">
        <v>66</v>
      </c>
      <c r="B2603" t="s">
        <v>104</v>
      </c>
      <c r="C2603" t="s">
        <v>191</v>
      </c>
      <c r="D2603" s="110">
        <v>172567</v>
      </c>
      <c r="E2603" s="110">
        <v>172567</v>
      </c>
      <c r="F2603" s="110">
        <v>172567</v>
      </c>
      <c r="G2603" s="110">
        <v>172567</v>
      </c>
      <c r="I2603" s="110">
        <v>11456</v>
      </c>
      <c r="J2603" s="110">
        <v>22863</v>
      </c>
      <c r="K2603" s="110">
        <v>28791</v>
      </c>
      <c r="L2603" s="110">
        <v>36506</v>
      </c>
    </row>
    <row r="2604" spans="1:12" x14ac:dyDescent="0.2">
      <c r="A2604" t="s">
        <v>66</v>
      </c>
      <c r="B2604" t="s">
        <v>104</v>
      </c>
      <c r="C2604" t="s">
        <v>192</v>
      </c>
      <c r="D2604" s="110">
        <v>150947</v>
      </c>
      <c r="E2604" s="110">
        <v>150947</v>
      </c>
      <c r="F2604" s="110">
        <v>150947</v>
      </c>
      <c r="I2604" s="110">
        <v>2969</v>
      </c>
      <c r="J2604" s="110">
        <v>10796</v>
      </c>
      <c r="K2604" s="110">
        <v>16035</v>
      </c>
    </row>
    <row r="2605" spans="1:12" x14ac:dyDescent="0.2">
      <c r="A2605" t="s">
        <v>66</v>
      </c>
      <c r="B2605" t="s">
        <v>104</v>
      </c>
      <c r="C2605" t="s">
        <v>193</v>
      </c>
      <c r="D2605" s="110">
        <v>103168</v>
      </c>
      <c r="E2605" s="110">
        <v>103168</v>
      </c>
      <c r="I2605" s="110">
        <v>9367</v>
      </c>
      <c r="J2605" s="110">
        <v>14302</v>
      </c>
    </row>
    <row r="2606" spans="1:12" x14ac:dyDescent="0.2">
      <c r="A2606" t="s">
        <v>66</v>
      </c>
      <c r="B2606" t="s">
        <v>104</v>
      </c>
      <c r="C2606" t="s">
        <v>194</v>
      </c>
      <c r="D2606" s="110">
        <v>196159</v>
      </c>
      <c r="I2606" s="110">
        <v>3071</v>
      </c>
    </row>
    <row r="2607" spans="1:12" x14ac:dyDescent="0.2">
      <c r="A2607" t="s">
        <v>66</v>
      </c>
      <c r="B2607" t="s">
        <v>140</v>
      </c>
      <c r="C2607" t="s">
        <v>191</v>
      </c>
    </row>
    <row r="2608" spans="1:12" x14ac:dyDescent="0.2">
      <c r="A2608" t="s">
        <v>66</v>
      </c>
      <c r="B2608" t="s">
        <v>140</v>
      </c>
      <c r="C2608" t="s">
        <v>192</v>
      </c>
    </row>
    <row r="2609" spans="1:12" x14ac:dyDescent="0.2">
      <c r="A2609" t="s">
        <v>66</v>
      </c>
      <c r="B2609" t="s">
        <v>140</v>
      </c>
      <c r="C2609" t="s">
        <v>193</v>
      </c>
    </row>
    <row r="2610" spans="1:12" x14ac:dyDescent="0.2">
      <c r="A2610" t="s">
        <v>66</v>
      </c>
      <c r="B2610" t="s">
        <v>140</v>
      </c>
      <c r="C2610" t="s">
        <v>194</v>
      </c>
      <c r="D2610" s="110">
        <v>50000</v>
      </c>
    </row>
    <row r="2611" spans="1:12" x14ac:dyDescent="0.2">
      <c r="A2611" t="s">
        <v>66</v>
      </c>
      <c r="B2611" t="s">
        <v>105</v>
      </c>
      <c r="C2611" t="s">
        <v>191</v>
      </c>
      <c r="D2611" s="110">
        <v>84737</v>
      </c>
      <c r="E2611" s="110">
        <v>84737</v>
      </c>
      <c r="F2611" s="110">
        <v>84737</v>
      </c>
      <c r="G2611" s="110">
        <v>84737</v>
      </c>
      <c r="I2611" s="110">
        <v>20780</v>
      </c>
      <c r="J2611" s="110">
        <v>30827</v>
      </c>
      <c r="K2611" s="110">
        <v>40240</v>
      </c>
      <c r="L2611" s="110">
        <v>43413</v>
      </c>
    </row>
    <row r="2612" spans="1:12" x14ac:dyDescent="0.2">
      <c r="A2612" t="s">
        <v>66</v>
      </c>
      <c r="B2612" t="s">
        <v>105</v>
      </c>
      <c r="C2612" t="s">
        <v>192</v>
      </c>
      <c r="D2612" s="110">
        <v>100566</v>
      </c>
      <c r="E2612" s="110">
        <v>100566</v>
      </c>
      <c r="F2612" s="110">
        <v>100566</v>
      </c>
      <c r="I2612" s="110">
        <v>30637</v>
      </c>
      <c r="J2612" s="110">
        <v>53487</v>
      </c>
      <c r="K2612" s="110">
        <v>65266</v>
      </c>
    </row>
    <row r="2613" spans="1:12" x14ac:dyDescent="0.2">
      <c r="A2613" t="s">
        <v>66</v>
      </c>
      <c r="B2613" t="s">
        <v>105</v>
      </c>
      <c r="C2613" t="s">
        <v>193</v>
      </c>
      <c r="D2613" s="110">
        <v>148657</v>
      </c>
      <c r="E2613" s="110">
        <v>148657</v>
      </c>
      <c r="I2613" s="110">
        <v>70983</v>
      </c>
      <c r="J2613" s="110">
        <v>89387</v>
      </c>
    </row>
    <row r="2614" spans="1:12" x14ac:dyDescent="0.2">
      <c r="A2614" t="s">
        <v>66</v>
      </c>
      <c r="B2614" t="s">
        <v>105</v>
      </c>
      <c r="C2614" t="s">
        <v>194</v>
      </c>
      <c r="D2614" s="110">
        <v>98111</v>
      </c>
      <c r="I2614" s="110">
        <v>33772</v>
      </c>
    </row>
    <row r="2615" spans="1:12" x14ac:dyDescent="0.2">
      <c r="A2615" t="s">
        <v>66</v>
      </c>
      <c r="B2615" t="s">
        <v>111</v>
      </c>
      <c r="C2615" t="s">
        <v>191</v>
      </c>
      <c r="D2615" s="110">
        <v>2708</v>
      </c>
      <c r="E2615" s="110">
        <v>2708</v>
      </c>
      <c r="F2615" s="110">
        <v>2708</v>
      </c>
      <c r="G2615" s="110">
        <v>2708</v>
      </c>
      <c r="I2615" s="110">
        <v>2564</v>
      </c>
      <c r="J2615" s="110">
        <v>2704</v>
      </c>
      <c r="K2615" s="110">
        <v>2708</v>
      </c>
      <c r="L2615" s="110">
        <v>2708</v>
      </c>
    </row>
    <row r="2616" spans="1:12" x14ac:dyDescent="0.2">
      <c r="A2616" t="s">
        <v>66</v>
      </c>
      <c r="B2616" t="s">
        <v>111</v>
      </c>
      <c r="C2616" t="s">
        <v>192</v>
      </c>
      <c r="D2616" s="110">
        <v>2366</v>
      </c>
      <c r="E2616" s="110">
        <v>2366</v>
      </c>
      <c r="F2616" s="110">
        <v>2366</v>
      </c>
      <c r="I2616" s="110">
        <v>1726</v>
      </c>
      <c r="J2616" s="110">
        <v>1926</v>
      </c>
      <c r="K2616" s="110">
        <v>1926</v>
      </c>
    </row>
    <row r="2617" spans="1:12" x14ac:dyDescent="0.2">
      <c r="A2617" t="s">
        <v>66</v>
      </c>
      <c r="B2617" t="s">
        <v>111</v>
      </c>
      <c r="C2617" t="s">
        <v>193</v>
      </c>
      <c r="D2617" s="110">
        <v>27552</v>
      </c>
      <c r="E2617" s="110">
        <v>27552</v>
      </c>
      <c r="I2617" s="110">
        <v>25452</v>
      </c>
      <c r="J2617" s="110">
        <v>26052</v>
      </c>
    </row>
    <row r="2618" spans="1:12" x14ac:dyDescent="0.2">
      <c r="A2618" t="s">
        <v>66</v>
      </c>
      <c r="B2618" t="s">
        <v>111</v>
      </c>
      <c r="C2618" t="s">
        <v>194</v>
      </c>
      <c r="D2618" s="110">
        <v>3670</v>
      </c>
      <c r="I2618" s="110">
        <v>3297</v>
      </c>
    </row>
    <row r="2619" spans="1:12" x14ac:dyDescent="0.2">
      <c r="A2619" t="s">
        <v>66</v>
      </c>
      <c r="B2619" t="s">
        <v>109</v>
      </c>
      <c r="C2619" t="s">
        <v>191</v>
      </c>
      <c r="D2619" s="110">
        <v>93650</v>
      </c>
      <c r="E2619" s="110">
        <v>93650</v>
      </c>
      <c r="F2619" s="110">
        <v>93650</v>
      </c>
      <c r="G2619" s="110">
        <v>93650</v>
      </c>
      <c r="I2619" s="110">
        <v>41688</v>
      </c>
      <c r="J2619" s="110">
        <v>56723</v>
      </c>
      <c r="K2619" s="110">
        <v>65939</v>
      </c>
      <c r="L2619" s="110">
        <v>68147</v>
      </c>
    </row>
    <row r="2620" spans="1:12" x14ac:dyDescent="0.2">
      <c r="A2620" t="s">
        <v>66</v>
      </c>
      <c r="B2620" t="s">
        <v>109</v>
      </c>
      <c r="C2620" t="s">
        <v>192</v>
      </c>
      <c r="D2620" s="110">
        <v>97847</v>
      </c>
      <c r="E2620" s="110">
        <v>97847</v>
      </c>
      <c r="F2620" s="110">
        <v>97847</v>
      </c>
      <c r="I2620" s="110">
        <v>41427</v>
      </c>
      <c r="J2620" s="110">
        <v>59383</v>
      </c>
      <c r="K2620" s="110">
        <v>68964</v>
      </c>
    </row>
    <row r="2621" spans="1:12" x14ac:dyDescent="0.2">
      <c r="A2621" t="s">
        <v>66</v>
      </c>
      <c r="B2621" t="s">
        <v>109</v>
      </c>
      <c r="C2621" t="s">
        <v>193</v>
      </c>
      <c r="D2621" s="110">
        <v>115629</v>
      </c>
      <c r="E2621" s="110">
        <v>115629</v>
      </c>
      <c r="I2621" s="110">
        <v>45076</v>
      </c>
      <c r="J2621" s="110">
        <v>70215</v>
      </c>
    </row>
    <row r="2622" spans="1:12" x14ac:dyDescent="0.2">
      <c r="A2622" t="s">
        <v>66</v>
      </c>
      <c r="B2622" t="s">
        <v>109</v>
      </c>
      <c r="C2622" t="s">
        <v>194</v>
      </c>
      <c r="D2622" s="110">
        <v>110705</v>
      </c>
      <c r="I2622" s="110">
        <v>35376</v>
      </c>
    </row>
    <row r="2623" spans="1:12" x14ac:dyDescent="0.2">
      <c r="A2623" t="s">
        <v>66</v>
      </c>
      <c r="B2623" t="s">
        <v>106</v>
      </c>
      <c r="C2623" t="s">
        <v>191</v>
      </c>
      <c r="D2623" s="110">
        <v>132203</v>
      </c>
      <c r="E2623" s="110">
        <v>131803</v>
      </c>
      <c r="F2623" s="110">
        <v>131803</v>
      </c>
      <c r="G2623" s="110">
        <v>131803</v>
      </c>
      <c r="I2623" s="110">
        <v>129340</v>
      </c>
      <c r="J2623" s="110">
        <v>131402</v>
      </c>
      <c r="K2623" s="110">
        <v>131402</v>
      </c>
      <c r="L2623" s="110">
        <v>131403</v>
      </c>
    </row>
    <row r="2624" spans="1:12" x14ac:dyDescent="0.2">
      <c r="A2624" t="s">
        <v>66</v>
      </c>
      <c r="B2624" t="s">
        <v>106</v>
      </c>
      <c r="C2624" t="s">
        <v>192</v>
      </c>
      <c r="D2624" s="110">
        <v>129967</v>
      </c>
      <c r="E2624" s="110">
        <v>129967</v>
      </c>
      <c r="F2624" s="110">
        <v>129967</v>
      </c>
      <c r="I2624" s="110">
        <v>128778</v>
      </c>
      <c r="J2624" s="110">
        <v>129967</v>
      </c>
      <c r="K2624" s="110">
        <v>129967</v>
      </c>
    </row>
    <row r="2625" spans="1:12" x14ac:dyDescent="0.2">
      <c r="A2625" t="s">
        <v>66</v>
      </c>
      <c r="B2625" t="s">
        <v>106</v>
      </c>
      <c r="C2625" t="s">
        <v>193</v>
      </c>
      <c r="D2625" s="110">
        <v>119233</v>
      </c>
      <c r="E2625" s="110">
        <v>119233</v>
      </c>
      <c r="I2625" s="110">
        <v>118823</v>
      </c>
      <c r="J2625" s="110">
        <v>119233</v>
      </c>
    </row>
    <row r="2626" spans="1:12" x14ac:dyDescent="0.2">
      <c r="A2626" t="s">
        <v>66</v>
      </c>
      <c r="B2626" t="s">
        <v>106</v>
      </c>
      <c r="C2626" t="s">
        <v>194</v>
      </c>
      <c r="D2626" s="110">
        <v>131880</v>
      </c>
      <c r="I2626" s="110">
        <v>128496</v>
      </c>
    </row>
    <row r="2627" spans="1:12" x14ac:dyDescent="0.2">
      <c r="A2627" t="s">
        <v>66</v>
      </c>
      <c r="B2627" t="s">
        <v>107</v>
      </c>
      <c r="C2627" t="s">
        <v>191</v>
      </c>
      <c r="D2627" s="110">
        <v>69280</v>
      </c>
      <c r="E2627" s="110">
        <v>69280</v>
      </c>
      <c r="F2627" s="110">
        <v>69280</v>
      </c>
      <c r="G2627" s="110">
        <v>69280</v>
      </c>
      <c r="I2627" s="110">
        <v>69180</v>
      </c>
      <c r="J2627" s="110">
        <v>69280</v>
      </c>
      <c r="K2627" s="110">
        <v>69280</v>
      </c>
      <c r="L2627" s="110">
        <v>69280</v>
      </c>
    </row>
    <row r="2628" spans="1:12" x14ac:dyDescent="0.2">
      <c r="A2628" t="s">
        <v>66</v>
      </c>
      <c r="B2628" t="s">
        <v>107</v>
      </c>
      <c r="C2628" t="s">
        <v>192</v>
      </c>
      <c r="D2628" s="110">
        <v>63138</v>
      </c>
      <c r="E2628" s="110">
        <v>63138</v>
      </c>
      <c r="F2628" s="110">
        <v>63138</v>
      </c>
      <c r="I2628" s="110">
        <v>60983</v>
      </c>
      <c r="J2628" s="110">
        <v>63138</v>
      </c>
      <c r="K2628" s="110">
        <v>63138</v>
      </c>
    </row>
    <row r="2629" spans="1:12" x14ac:dyDescent="0.2">
      <c r="A2629" t="s">
        <v>66</v>
      </c>
      <c r="B2629" t="s">
        <v>107</v>
      </c>
      <c r="C2629" t="s">
        <v>193</v>
      </c>
      <c r="D2629" s="110">
        <v>62891</v>
      </c>
      <c r="E2629" s="110">
        <v>62891</v>
      </c>
      <c r="I2629" s="110">
        <v>62891</v>
      </c>
      <c r="J2629" s="110">
        <v>62891</v>
      </c>
    </row>
    <row r="2630" spans="1:12" x14ac:dyDescent="0.2">
      <c r="A2630" t="s">
        <v>66</v>
      </c>
      <c r="B2630" t="s">
        <v>107</v>
      </c>
      <c r="C2630" t="s">
        <v>194</v>
      </c>
      <c r="D2630" s="110">
        <v>68206</v>
      </c>
      <c r="I2630" s="110">
        <v>67576</v>
      </c>
    </row>
    <row r="2631" spans="1:12" x14ac:dyDescent="0.2">
      <c r="A2631" t="s">
        <v>66</v>
      </c>
      <c r="B2631" t="s">
        <v>108</v>
      </c>
      <c r="C2631" t="s">
        <v>191</v>
      </c>
      <c r="D2631" s="110">
        <v>24132</v>
      </c>
      <c r="E2631" s="110">
        <v>24132</v>
      </c>
      <c r="F2631" s="110">
        <v>24132</v>
      </c>
      <c r="G2631" s="110">
        <v>24132</v>
      </c>
      <c r="I2631" s="110">
        <v>24132</v>
      </c>
      <c r="J2631" s="110">
        <v>24132</v>
      </c>
      <c r="K2631" s="110">
        <v>24132</v>
      </c>
      <c r="L2631" s="110">
        <v>24132</v>
      </c>
    </row>
    <row r="2632" spans="1:12" x14ac:dyDescent="0.2">
      <c r="A2632" t="s">
        <v>66</v>
      </c>
      <c r="B2632" t="s">
        <v>108</v>
      </c>
      <c r="C2632" t="s">
        <v>192</v>
      </c>
      <c r="D2632" s="110">
        <v>28242</v>
      </c>
      <c r="E2632" s="110">
        <v>28242</v>
      </c>
      <c r="F2632" s="110">
        <v>28242</v>
      </c>
      <c r="I2632" s="110">
        <v>27497</v>
      </c>
      <c r="J2632" s="110">
        <v>28242</v>
      </c>
      <c r="K2632" s="110">
        <v>28242</v>
      </c>
    </row>
    <row r="2633" spans="1:12" x14ac:dyDescent="0.2">
      <c r="A2633" t="s">
        <v>66</v>
      </c>
      <c r="B2633" t="s">
        <v>108</v>
      </c>
      <c r="C2633" t="s">
        <v>193</v>
      </c>
      <c r="D2633" s="110">
        <v>34127</v>
      </c>
      <c r="E2633" s="110">
        <v>34127</v>
      </c>
      <c r="I2633" s="110">
        <v>34127</v>
      </c>
      <c r="J2633" s="110">
        <v>34127</v>
      </c>
    </row>
    <row r="2634" spans="1:12" x14ac:dyDescent="0.2">
      <c r="A2634" t="s">
        <v>66</v>
      </c>
      <c r="B2634" t="s">
        <v>108</v>
      </c>
      <c r="C2634" t="s">
        <v>194</v>
      </c>
      <c r="D2634" s="110">
        <v>33061</v>
      </c>
      <c r="I2634" s="110">
        <v>33020</v>
      </c>
    </row>
    <row r="2635" spans="1:12" x14ac:dyDescent="0.2">
      <c r="A2635" t="s">
        <v>66</v>
      </c>
      <c r="B2635" t="s">
        <v>70</v>
      </c>
      <c r="C2635" t="s">
        <v>191</v>
      </c>
      <c r="D2635" s="110">
        <v>39898</v>
      </c>
      <c r="E2635" s="110">
        <v>39898</v>
      </c>
      <c r="F2635" s="110">
        <v>39898</v>
      </c>
      <c r="G2635" s="110">
        <v>39898</v>
      </c>
      <c r="I2635" s="110">
        <v>39898</v>
      </c>
      <c r="J2635" s="110">
        <v>39898</v>
      </c>
      <c r="K2635" s="110">
        <v>39898</v>
      </c>
      <c r="L2635" s="110">
        <v>39898</v>
      </c>
    </row>
    <row r="2636" spans="1:12" x14ac:dyDescent="0.2">
      <c r="A2636" t="s">
        <v>66</v>
      </c>
      <c r="B2636" t="s">
        <v>70</v>
      </c>
      <c r="C2636" t="s">
        <v>192</v>
      </c>
      <c r="D2636" s="110">
        <v>41615</v>
      </c>
      <c r="E2636" s="110">
        <v>41615</v>
      </c>
      <c r="F2636" s="110">
        <v>41615</v>
      </c>
      <c r="I2636" s="110">
        <v>41207</v>
      </c>
      <c r="J2636" s="110">
        <v>41615</v>
      </c>
      <c r="K2636" s="110">
        <v>41615</v>
      </c>
    </row>
    <row r="2637" spans="1:12" x14ac:dyDescent="0.2">
      <c r="A2637" t="s">
        <v>66</v>
      </c>
      <c r="B2637" t="s">
        <v>70</v>
      </c>
      <c r="C2637" t="s">
        <v>193</v>
      </c>
      <c r="D2637" s="110">
        <v>44799</v>
      </c>
      <c r="E2637" s="110">
        <v>44799</v>
      </c>
      <c r="I2637" s="110">
        <v>43908</v>
      </c>
      <c r="J2637" s="110">
        <v>44799</v>
      </c>
    </row>
    <row r="2638" spans="1:12" x14ac:dyDescent="0.2">
      <c r="A2638" t="s">
        <v>66</v>
      </c>
      <c r="B2638" t="s">
        <v>70</v>
      </c>
      <c r="C2638" t="s">
        <v>194</v>
      </c>
      <c r="D2638" s="110">
        <v>44467</v>
      </c>
      <c r="I2638" s="110">
        <v>44467</v>
      </c>
    </row>
    <row r="2639" spans="1:12" x14ac:dyDescent="0.2">
      <c r="A2639" t="s">
        <v>66</v>
      </c>
      <c r="B2639" t="s">
        <v>110</v>
      </c>
      <c r="C2639" t="s">
        <v>191</v>
      </c>
      <c r="D2639" s="110">
        <v>107452</v>
      </c>
      <c r="E2639" s="110">
        <v>107452</v>
      </c>
      <c r="F2639" s="110">
        <v>107452</v>
      </c>
      <c r="G2639" s="110">
        <v>107452</v>
      </c>
      <c r="I2639" s="110">
        <v>58743</v>
      </c>
      <c r="J2639" s="110">
        <v>93524</v>
      </c>
      <c r="K2639" s="110">
        <v>96658</v>
      </c>
      <c r="L2639" s="110">
        <v>99134</v>
      </c>
    </row>
    <row r="2640" spans="1:12" x14ac:dyDescent="0.2">
      <c r="A2640" t="s">
        <v>66</v>
      </c>
      <c r="B2640" t="s">
        <v>110</v>
      </c>
      <c r="C2640" t="s">
        <v>192</v>
      </c>
      <c r="D2640" s="110">
        <v>115230</v>
      </c>
      <c r="E2640" s="110">
        <v>115230</v>
      </c>
      <c r="F2640" s="110">
        <v>115230</v>
      </c>
      <c r="I2640" s="110">
        <v>53651</v>
      </c>
      <c r="J2640" s="110">
        <v>98296</v>
      </c>
      <c r="K2640" s="110">
        <v>102395</v>
      </c>
    </row>
    <row r="2641" spans="1:12" x14ac:dyDescent="0.2">
      <c r="A2641" t="s">
        <v>66</v>
      </c>
      <c r="B2641" t="s">
        <v>110</v>
      </c>
      <c r="C2641" t="s">
        <v>193</v>
      </c>
      <c r="D2641" s="110">
        <v>127707</v>
      </c>
      <c r="E2641" s="110">
        <v>127707</v>
      </c>
      <c r="I2641" s="110">
        <v>75316</v>
      </c>
      <c r="J2641" s="110">
        <v>109305</v>
      </c>
    </row>
    <row r="2642" spans="1:12" x14ac:dyDescent="0.2">
      <c r="A2642" t="s">
        <v>66</v>
      </c>
      <c r="B2642" t="s">
        <v>110</v>
      </c>
      <c r="C2642" t="s">
        <v>194</v>
      </c>
      <c r="D2642" s="110">
        <v>150281</v>
      </c>
      <c r="I2642" s="110">
        <v>79131</v>
      </c>
    </row>
    <row r="2643" spans="1:12" ht="13.5" x14ac:dyDescent="0.25">
      <c r="A2643" s="65" t="s">
        <v>67</v>
      </c>
      <c r="B2643" t="s">
        <v>104</v>
      </c>
      <c r="C2643" t="s">
        <v>191</v>
      </c>
      <c r="D2643" s="110">
        <v>237507</v>
      </c>
      <c r="E2643" s="110">
        <v>237507</v>
      </c>
      <c r="F2643" s="110">
        <v>237476.75</v>
      </c>
      <c r="G2643" s="110">
        <v>237476.75</v>
      </c>
      <c r="I2643" s="110">
        <v>3239.85</v>
      </c>
      <c r="J2643" s="110">
        <v>6548.35</v>
      </c>
      <c r="K2643" s="110">
        <v>10353.379999999999</v>
      </c>
      <c r="L2643" s="110">
        <v>13471.42</v>
      </c>
    </row>
    <row r="2644" spans="1:12" ht="13.5" x14ac:dyDescent="0.25">
      <c r="A2644" s="65" t="s">
        <v>67</v>
      </c>
      <c r="B2644" t="s">
        <v>104</v>
      </c>
      <c r="C2644" t="s">
        <v>192</v>
      </c>
      <c r="D2644" s="110">
        <v>192395</v>
      </c>
      <c r="E2644" s="110">
        <v>192398.5</v>
      </c>
      <c r="F2644" s="110">
        <v>192398.5</v>
      </c>
      <c r="I2644" s="110">
        <v>1753.89</v>
      </c>
      <c r="J2644" s="110">
        <v>3870.56</v>
      </c>
      <c r="K2644" s="110">
        <v>5964.53</v>
      </c>
    </row>
    <row r="2645" spans="1:12" ht="13.5" x14ac:dyDescent="0.25">
      <c r="A2645" s="65" t="s">
        <v>67</v>
      </c>
      <c r="B2645" t="s">
        <v>104</v>
      </c>
      <c r="C2645" t="s">
        <v>193</v>
      </c>
      <c r="D2645" s="110">
        <v>250669.5</v>
      </c>
      <c r="E2645" s="110">
        <v>250494.5</v>
      </c>
      <c r="I2645" s="110">
        <v>1664.61</v>
      </c>
      <c r="J2645" s="110">
        <v>4653.88</v>
      </c>
    </row>
    <row r="2646" spans="1:12" ht="13.5" x14ac:dyDescent="0.25">
      <c r="A2646" s="65" t="s">
        <v>67</v>
      </c>
      <c r="B2646" t="s">
        <v>104</v>
      </c>
      <c r="C2646" t="s">
        <v>194</v>
      </c>
      <c r="D2646" s="110">
        <v>278817.5</v>
      </c>
      <c r="I2646" s="110">
        <v>2988.09</v>
      </c>
    </row>
    <row r="2647" spans="1:12" ht="13.5" x14ac:dyDescent="0.25">
      <c r="A2647" s="65" t="s">
        <v>67</v>
      </c>
      <c r="B2647" t="s">
        <v>140</v>
      </c>
      <c r="C2647" t="s">
        <v>191</v>
      </c>
      <c r="D2647" s="110">
        <v>500</v>
      </c>
      <c r="E2647" s="110">
        <v>500</v>
      </c>
      <c r="F2647" s="110">
        <v>500</v>
      </c>
      <c r="G2647" s="110">
        <v>500</v>
      </c>
    </row>
    <row r="2648" spans="1:12" ht="13.5" x14ac:dyDescent="0.25">
      <c r="A2648" s="65" t="s">
        <v>67</v>
      </c>
      <c r="B2648" t="s">
        <v>140</v>
      </c>
      <c r="C2648" t="s">
        <v>192</v>
      </c>
      <c r="D2648" s="110">
        <v>25</v>
      </c>
      <c r="E2648" s="110">
        <v>25</v>
      </c>
      <c r="F2648" s="110">
        <v>25</v>
      </c>
    </row>
    <row r="2649" spans="1:12" ht="13.5" x14ac:dyDescent="0.25">
      <c r="A2649" s="65" t="s">
        <v>67</v>
      </c>
      <c r="B2649" t="s">
        <v>140</v>
      </c>
      <c r="C2649" t="s">
        <v>193</v>
      </c>
      <c r="D2649" s="110">
        <v>100025</v>
      </c>
      <c r="E2649" s="110">
        <v>100025</v>
      </c>
      <c r="I2649" s="110">
        <v>25</v>
      </c>
      <c r="J2649" s="110">
        <v>25</v>
      </c>
    </row>
    <row r="2650" spans="1:12" ht="13.5" x14ac:dyDescent="0.25">
      <c r="A2650" s="65" t="s">
        <v>67</v>
      </c>
      <c r="B2650" t="s">
        <v>140</v>
      </c>
      <c r="C2650" t="s">
        <v>194</v>
      </c>
      <c r="D2650" s="110">
        <v>52532</v>
      </c>
    </row>
    <row r="2651" spans="1:12" ht="13.5" x14ac:dyDescent="0.25">
      <c r="A2651" s="65" t="s">
        <v>67</v>
      </c>
      <c r="B2651" t="s">
        <v>105</v>
      </c>
      <c r="C2651" t="s">
        <v>191</v>
      </c>
      <c r="D2651" s="110">
        <v>44988</v>
      </c>
      <c r="E2651" s="110">
        <v>44988</v>
      </c>
      <c r="F2651" s="110">
        <v>44856.25</v>
      </c>
      <c r="G2651" s="110">
        <v>44856.25</v>
      </c>
      <c r="I2651" s="110">
        <v>7436.03</v>
      </c>
      <c r="J2651" s="110">
        <v>17866.349999999999</v>
      </c>
      <c r="K2651" s="110">
        <v>22739.37</v>
      </c>
      <c r="L2651" s="110">
        <v>24937.25</v>
      </c>
    </row>
    <row r="2652" spans="1:12" ht="13.5" x14ac:dyDescent="0.25">
      <c r="A2652" s="65" t="s">
        <v>67</v>
      </c>
      <c r="B2652" t="s">
        <v>105</v>
      </c>
      <c r="C2652" t="s">
        <v>192</v>
      </c>
      <c r="D2652" s="110">
        <v>43851.5</v>
      </c>
      <c r="E2652" s="110">
        <v>43855</v>
      </c>
      <c r="F2652" s="110">
        <v>43855</v>
      </c>
      <c r="I2652" s="110">
        <v>6296.2</v>
      </c>
      <c r="J2652" s="110">
        <v>17672.55</v>
      </c>
      <c r="K2652" s="110">
        <v>20881.78</v>
      </c>
    </row>
    <row r="2653" spans="1:12" ht="13.5" x14ac:dyDescent="0.25">
      <c r="A2653" s="65" t="s">
        <v>67</v>
      </c>
      <c r="B2653" t="s">
        <v>105</v>
      </c>
      <c r="C2653" t="s">
        <v>193</v>
      </c>
      <c r="D2653" s="110">
        <v>41189.5</v>
      </c>
      <c r="E2653" s="110">
        <v>41189.5</v>
      </c>
      <c r="I2653" s="110">
        <v>8330.16</v>
      </c>
      <c r="J2653" s="110">
        <v>14494.23</v>
      </c>
    </row>
    <row r="2654" spans="1:12" ht="13.5" x14ac:dyDescent="0.25">
      <c r="A2654" s="65" t="s">
        <v>67</v>
      </c>
      <c r="B2654" t="s">
        <v>105</v>
      </c>
      <c r="C2654" t="s">
        <v>194</v>
      </c>
      <c r="D2654" s="110">
        <v>47429</v>
      </c>
      <c r="I2654" s="110">
        <v>11025.69</v>
      </c>
    </row>
    <row r="2655" spans="1:12" ht="13.5" x14ac:dyDescent="0.25">
      <c r="A2655" s="65" t="s">
        <v>67</v>
      </c>
      <c r="B2655" t="s">
        <v>111</v>
      </c>
      <c r="C2655" t="s">
        <v>191</v>
      </c>
      <c r="D2655" s="110">
        <v>7</v>
      </c>
      <c r="E2655" s="110">
        <v>7</v>
      </c>
      <c r="F2655" s="110">
        <v>7</v>
      </c>
      <c r="G2655" s="110">
        <v>7</v>
      </c>
      <c r="I2655" s="110">
        <v>7</v>
      </c>
      <c r="J2655" s="110">
        <v>7</v>
      </c>
      <c r="K2655" s="110">
        <v>7</v>
      </c>
      <c r="L2655" s="110">
        <v>7</v>
      </c>
    </row>
    <row r="2656" spans="1:12" ht="13.5" x14ac:dyDescent="0.25">
      <c r="A2656" s="65" t="s">
        <v>67</v>
      </c>
      <c r="B2656" t="s">
        <v>111</v>
      </c>
      <c r="C2656" t="s">
        <v>192</v>
      </c>
      <c r="D2656" s="110">
        <v>451</v>
      </c>
      <c r="E2656" s="110">
        <v>451</v>
      </c>
      <c r="F2656" s="110">
        <v>451</v>
      </c>
      <c r="I2656" s="110">
        <v>145</v>
      </c>
      <c r="J2656" s="110">
        <v>313</v>
      </c>
      <c r="K2656" s="110">
        <v>313</v>
      </c>
    </row>
    <row r="2657" spans="1:12" ht="13.5" x14ac:dyDescent="0.25">
      <c r="A2657" s="65" t="s">
        <v>67</v>
      </c>
      <c r="B2657" t="s">
        <v>111</v>
      </c>
      <c r="C2657" t="s">
        <v>193</v>
      </c>
      <c r="D2657" s="110">
        <v>806.5</v>
      </c>
      <c r="E2657" s="110">
        <v>806.5</v>
      </c>
      <c r="I2657" s="110">
        <v>17.5</v>
      </c>
      <c r="J2657" s="110">
        <v>17.5</v>
      </c>
    </row>
    <row r="2658" spans="1:12" ht="13.5" x14ac:dyDescent="0.25">
      <c r="A2658" s="65" t="s">
        <v>67</v>
      </c>
      <c r="B2658" t="s">
        <v>111</v>
      </c>
      <c r="C2658" t="s">
        <v>194</v>
      </c>
      <c r="D2658" s="110">
        <v>619</v>
      </c>
      <c r="I2658" s="110">
        <v>240</v>
      </c>
    </row>
    <row r="2659" spans="1:12" ht="13.5" x14ac:dyDescent="0.25">
      <c r="A2659" s="65" t="s">
        <v>67</v>
      </c>
      <c r="B2659" t="s">
        <v>109</v>
      </c>
      <c r="C2659" t="s">
        <v>191</v>
      </c>
      <c r="D2659" s="110">
        <v>20762.5</v>
      </c>
      <c r="E2659" s="110">
        <v>20762.5</v>
      </c>
      <c r="F2659" s="110">
        <v>20722.5</v>
      </c>
      <c r="G2659" s="110">
        <v>20722.5</v>
      </c>
      <c r="I2659" s="110">
        <v>6449.62</v>
      </c>
      <c r="J2659" s="110">
        <v>10798.5</v>
      </c>
      <c r="K2659" s="110">
        <v>12495.5</v>
      </c>
      <c r="L2659" s="110">
        <v>12790.5</v>
      </c>
    </row>
    <row r="2660" spans="1:12" ht="13.5" x14ac:dyDescent="0.25">
      <c r="A2660" s="65" t="s">
        <v>67</v>
      </c>
      <c r="B2660" t="s">
        <v>109</v>
      </c>
      <c r="C2660" t="s">
        <v>192</v>
      </c>
      <c r="D2660" s="110">
        <v>20489.5</v>
      </c>
      <c r="E2660" s="110">
        <v>20299.5</v>
      </c>
      <c r="F2660" s="110">
        <v>19999.5</v>
      </c>
      <c r="I2660" s="110">
        <v>2327</v>
      </c>
      <c r="J2660" s="110">
        <v>7750.5</v>
      </c>
      <c r="K2660" s="110">
        <v>9685.5</v>
      </c>
    </row>
    <row r="2661" spans="1:12" ht="13.5" x14ac:dyDescent="0.25">
      <c r="A2661" s="65" t="s">
        <v>67</v>
      </c>
      <c r="B2661" t="s">
        <v>109</v>
      </c>
      <c r="C2661" t="s">
        <v>193</v>
      </c>
      <c r="D2661" s="110">
        <v>16781</v>
      </c>
      <c r="E2661" s="110">
        <v>16967</v>
      </c>
      <c r="I2661" s="110">
        <v>1590.9</v>
      </c>
      <c r="J2661" s="110">
        <v>5837.22</v>
      </c>
    </row>
    <row r="2662" spans="1:12" ht="13.5" x14ac:dyDescent="0.25">
      <c r="A2662" s="65" t="s">
        <v>67</v>
      </c>
      <c r="B2662" t="s">
        <v>109</v>
      </c>
      <c r="C2662" t="s">
        <v>194</v>
      </c>
      <c r="D2662" s="110">
        <v>22612.5</v>
      </c>
      <c r="I2662" s="110">
        <v>4141.22</v>
      </c>
    </row>
    <row r="2663" spans="1:12" ht="13.5" x14ac:dyDescent="0.25">
      <c r="A2663" s="65" t="s">
        <v>67</v>
      </c>
      <c r="B2663" t="s">
        <v>106</v>
      </c>
      <c r="C2663" t="s">
        <v>191</v>
      </c>
      <c r="D2663" s="110">
        <v>137107</v>
      </c>
      <c r="E2663" s="110">
        <v>137107</v>
      </c>
      <c r="F2663" s="110">
        <v>137107</v>
      </c>
      <c r="G2663" s="110">
        <v>137107</v>
      </c>
      <c r="I2663" s="110">
        <v>136107</v>
      </c>
      <c r="J2663" s="110">
        <v>137107</v>
      </c>
      <c r="K2663" s="110">
        <v>137107</v>
      </c>
      <c r="L2663" s="110">
        <v>137107</v>
      </c>
    </row>
    <row r="2664" spans="1:12" ht="13.5" x14ac:dyDescent="0.25">
      <c r="A2664" s="65" t="s">
        <v>67</v>
      </c>
      <c r="B2664" t="s">
        <v>106</v>
      </c>
      <c r="C2664" t="s">
        <v>192</v>
      </c>
      <c r="D2664" s="110">
        <v>959432.96</v>
      </c>
      <c r="E2664" s="110">
        <v>959432.96</v>
      </c>
      <c r="F2664" s="110">
        <v>959432.96</v>
      </c>
      <c r="I2664" s="110">
        <v>959132.96</v>
      </c>
      <c r="J2664" s="110">
        <v>959132.96</v>
      </c>
      <c r="K2664" s="110">
        <v>959132.96</v>
      </c>
    </row>
    <row r="2665" spans="1:12" ht="13.5" x14ac:dyDescent="0.25">
      <c r="A2665" s="65" t="s">
        <v>67</v>
      </c>
      <c r="B2665" t="s">
        <v>106</v>
      </c>
      <c r="C2665" t="s">
        <v>193</v>
      </c>
      <c r="D2665" s="110">
        <v>204773</v>
      </c>
      <c r="E2665" s="110">
        <v>204773</v>
      </c>
      <c r="I2665" s="110">
        <v>203573</v>
      </c>
      <c r="J2665" s="110">
        <v>203573</v>
      </c>
    </row>
    <row r="2666" spans="1:12" ht="13.5" x14ac:dyDescent="0.25">
      <c r="A2666" s="65" t="s">
        <v>67</v>
      </c>
      <c r="B2666" t="s">
        <v>106</v>
      </c>
      <c r="C2666" t="s">
        <v>194</v>
      </c>
      <c r="D2666" s="110">
        <v>14995.4</v>
      </c>
      <c r="I2666" s="110">
        <v>14545.4</v>
      </c>
    </row>
    <row r="2667" spans="1:12" ht="13.5" x14ac:dyDescent="0.25">
      <c r="A2667" s="65" t="s">
        <v>67</v>
      </c>
      <c r="B2667" t="s">
        <v>107</v>
      </c>
      <c r="C2667" t="s">
        <v>191</v>
      </c>
      <c r="D2667" s="110">
        <v>14759.71</v>
      </c>
      <c r="E2667" s="110">
        <v>14759.71</v>
      </c>
      <c r="F2667" s="110">
        <v>14759.71</v>
      </c>
      <c r="G2667" s="110">
        <v>14759.71</v>
      </c>
      <c r="I2667" s="110">
        <v>14314.71</v>
      </c>
      <c r="J2667" s="110">
        <v>14364.71</v>
      </c>
      <c r="K2667" s="110">
        <v>14364.71</v>
      </c>
      <c r="L2667" s="110">
        <v>14364.71</v>
      </c>
    </row>
    <row r="2668" spans="1:12" ht="13.5" x14ac:dyDescent="0.25">
      <c r="A2668" s="65" t="s">
        <v>67</v>
      </c>
      <c r="B2668" t="s">
        <v>107</v>
      </c>
      <c r="C2668" t="s">
        <v>192</v>
      </c>
      <c r="D2668" s="110">
        <v>22677.5</v>
      </c>
      <c r="E2668" s="110">
        <v>22597.5</v>
      </c>
      <c r="F2668" s="110">
        <v>22597.5</v>
      </c>
      <c r="I2668" s="110">
        <v>22143.5</v>
      </c>
      <c r="J2668" s="110">
        <v>22597.5</v>
      </c>
      <c r="K2668" s="110">
        <v>22597.5</v>
      </c>
    </row>
    <row r="2669" spans="1:12" ht="13.5" x14ac:dyDescent="0.25">
      <c r="A2669" s="65" t="s">
        <v>67</v>
      </c>
      <c r="B2669" t="s">
        <v>107</v>
      </c>
      <c r="C2669" t="s">
        <v>193</v>
      </c>
      <c r="D2669" s="110">
        <v>20304.8</v>
      </c>
      <c r="E2669" s="110">
        <v>20320.8</v>
      </c>
      <c r="I2669" s="110">
        <v>19794.8</v>
      </c>
      <c r="J2669" s="110">
        <v>19794.8</v>
      </c>
    </row>
    <row r="2670" spans="1:12" ht="13.5" x14ac:dyDescent="0.25">
      <c r="A2670" s="65" t="s">
        <v>67</v>
      </c>
      <c r="B2670" t="s">
        <v>107</v>
      </c>
      <c r="C2670" t="s">
        <v>194</v>
      </c>
      <c r="D2670" s="110">
        <v>27667.5</v>
      </c>
      <c r="I2670" s="110">
        <v>27252.5</v>
      </c>
    </row>
    <row r="2671" spans="1:12" ht="13.5" x14ac:dyDescent="0.25">
      <c r="A2671" s="65" t="s">
        <v>67</v>
      </c>
      <c r="B2671" t="s">
        <v>108</v>
      </c>
      <c r="C2671" t="s">
        <v>191</v>
      </c>
      <c r="D2671" s="110">
        <v>5057</v>
      </c>
      <c r="E2671" s="110">
        <v>5057</v>
      </c>
      <c r="F2671" s="110">
        <v>5057</v>
      </c>
      <c r="G2671" s="110">
        <v>5057</v>
      </c>
      <c r="I2671" s="110">
        <v>5057</v>
      </c>
      <c r="J2671" s="110">
        <v>5057</v>
      </c>
      <c r="K2671" s="110">
        <v>5057</v>
      </c>
      <c r="L2671" s="110">
        <v>5057</v>
      </c>
    </row>
    <row r="2672" spans="1:12" ht="13.5" x14ac:dyDescent="0.25">
      <c r="A2672" s="65" t="s">
        <v>67</v>
      </c>
      <c r="B2672" t="s">
        <v>108</v>
      </c>
      <c r="C2672" t="s">
        <v>192</v>
      </c>
      <c r="D2672" s="110">
        <v>10458</v>
      </c>
      <c r="E2672" s="110">
        <v>10458</v>
      </c>
      <c r="F2672" s="110">
        <v>10458</v>
      </c>
      <c r="I2672" s="110">
        <v>9057</v>
      </c>
      <c r="J2672" s="110">
        <v>9802</v>
      </c>
      <c r="K2672" s="110">
        <v>9802</v>
      </c>
    </row>
    <row r="2673" spans="1:12" ht="13.5" x14ac:dyDescent="0.25">
      <c r="A2673" s="65" t="s">
        <v>67</v>
      </c>
      <c r="B2673" t="s">
        <v>108</v>
      </c>
      <c r="C2673" t="s">
        <v>193</v>
      </c>
      <c r="D2673" s="110">
        <v>14233.95</v>
      </c>
      <c r="E2673" s="110">
        <v>14233.95</v>
      </c>
      <c r="I2673" s="110">
        <v>14233.95</v>
      </c>
      <c r="J2673" s="110">
        <v>14233.95</v>
      </c>
    </row>
    <row r="2674" spans="1:12" ht="13.5" x14ac:dyDescent="0.25">
      <c r="A2674" s="65" t="s">
        <v>67</v>
      </c>
      <c r="B2674" t="s">
        <v>108</v>
      </c>
      <c r="C2674" t="s">
        <v>194</v>
      </c>
      <c r="D2674" s="110">
        <v>9408</v>
      </c>
      <c r="I2674" s="110">
        <v>9408</v>
      </c>
    </row>
    <row r="2675" spans="1:12" ht="13.5" x14ac:dyDescent="0.25">
      <c r="A2675" s="65" t="s">
        <v>67</v>
      </c>
      <c r="B2675" t="s">
        <v>70</v>
      </c>
      <c r="C2675" t="s">
        <v>191</v>
      </c>
      <c r="D2675" s="110">
        <v>12462.5</v>
      </c>
      <c r="E2675" s="110">
        <v>12462.5</v>
      </c>
      <c r="F2675" s="110">
        <v>12462.5</v>
      </c>
      <c r="G2675" s="110">
        <v>12462.5</v>
      </c>
      <c r="I2675" s="110">
        <v>10581</v>
      </c>
      <c r="J2675" s="110">
        <v>11296</v>
      </c>
      <c r="K2675" s="110">
        <v>11421</v>
      </c>
      <c r="L2675" s="110">
        <v>11596</v>
      </c>
    </row>
    <row r="2676" spans="1:12" ht="13.5" x14ac:dyDescent="0.25">
      <c r="A2676" s="65" t="s">
        <v>67</v>
      </c>
      <c r="B2676" t="s">
        <v>70</v>
      </c>
      <c r="C2676" t="s">
        <v>192</v>
      </c>
      <c r="D2676" s="110">
        <v>15332.5</v>
      </c>
      <c r="E2676" s="110">
        <v>15332.5</v>
      </c>
      <c r="F2676" s="110">
        <v>15332.5</v>
      </c>
      <c r="I2676" s="110">
        <v>13193</v>
      </c>
      <c r="J2676" s="110">
        <v>13868</v>
      </c>
      <c r="K2676" s="110">
        <v>13963</v>
      </c>
    </row>
    <row r="2677" spans="1:12" ht="13.5" x14ac:dyDescent="0.25">
      <c r="A2677" s="65" t="s">
        <v>67</v>
      </c>
      <c r="B2677" t="s">
        <v>70</v>
      </c>
      <c r="C2677" t="s">
        <v>193</v>
      </c>
      <c r="D2677" s="110">
        <v>17853</v>
      </c>
      <c r="E2677" s="110">
        <v>17853</v>
      </c>
      <c r="I2677" s="110">
        <v>16200.5</v>
      </c>
      <c r="J2677" s="110">
        <v>16383</v>
      </c>
    </row>
    <row r="2678" spans="1:12" ht="13.5" x14ac:dyDescent="0.25">
      <c r="A2678" s="65" t="s">
        <v>67</v>
      </c>
      <c r="B2678" t="s">
        <v>70</v>
      </c>
      <c r="C2678" t="s">
        <v>194</v>
      </c>
      <c r="D2678" s="110">
        <v>11480</v>
      </c>
      <c r="I2678" s="110">
        <v>10487.5</v>
      </c>
    </row>
    <row r="2679" spans="1:12" ht="13.5" x14ac:dyDescent="0.25">
      <c r="A2679" s="65" t="s">
        <v>67</v>
      </c>
      <c r="B2679" t="s">
        <v>110</v>
      </c>
      <c r="C2679" t="s">
        <v>191</v>
      </c>
      <c r="D2679" s="110">
        <v>79916.5</v>
      </c>
      <c r="E2679" s="110">
        <v>76947.5</v>
      </c>
      <c r="F2679" s="110">
        <v>76944.5</v>
      </c>
      <c r="G2679" s="110">
        <v>77541</v>
      </c>
      <c r="I2679" s="110">
        <v>36266</v>
      </c>
      <c r="J2679" s="110">
        <v>64480</v>
      </c>
      <c r="K2679" s="110">
        <v>68116</v>
      </c>
      <c r="L2679" s="110">
        <v>68911.5</v>
      </c>
    </row>
    <row r="2680" spans="1:12" ht="13.5" x14ac:dyDescent="0.25">
      <c r="A2680" s="65" t="s">
        <v>67</v>
      </c>
      <c r="B2680" t="s">
        <v>110</v>
      </c>
      <c r="C2680" t="s">
        <v>192</v>
      </c>
      <c r="D2680" s="110">
        <v>95832.75</v>
      </c>
      <c r="E2680" s="110">
        <v>92119</v>
      </c>
      <c r="F2680" s="110">
        <v>91887</v>
      </c>
      <c r="I2680" s="110">
        <v>43926.75</v>
      </c>
      <c r="J2680" s="110">
        <v>76364</v>
      </c>
      <c r="K2680" s="110">
        <v>79613</v>
      </c>
    </row>
    <row r="2681" spans="1:12" ht="13.5" x14ac:dyDescent="0.25">
      <c r="A2681" s="65" t="s">
        <v>67</v>
      </c>
      <c r="B2681" t="s">
        <v>110</v>
      </c>
      <c r="C2681" t="s">
        <v>193</v>
      </c>
      <c r="D2681" s="110">
        <v>89421.5</v>
      </c>
      <c r="E2681" s="110">
        <v>86728.5</v>
      </c>
      <c r="I2681" s="110">
        <v>49634.5</v>
      </c>
      <c r="J2681" s="110">
        <v>71855.5</v>
      </c>
    </row>
    <row r="2682" spans="1:12" ht="13.5" x14ac:dyDescent="0.25">
      <c r="A2682" s="65" t="s">
        <v>67</v>
      </c>
      <c r="B2682" t="s">
        <v>110</v>
      </c>
      <c r="C2682" t="s">
        <v>194</v>
      </c>
      <c r="D2682" s="110">
        <v>85123</v>
      </c>
      <c r="I2682" s="110">
        <v>41209.5</v>
      </c>
    </row>
  </sheetData>
  <sortState ref="O3:S45">
    <sortCondition ref="S3:S45"/>
  </sortState>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246"/>
  <sheetViews>
    <sheetView workbookViewId="0">
      <selection activeCell="E1" sqref="E1"/>
    </sheetView>
  </sheetViews>
  <sheetFormatPr defaultColWidth="9.140625" defaultRowHeight="13.5" x14ac:dyDescent="0.25"/>
  <cols>
    <col min="1" max="1" width="20.85546875" style="2" customWidth="1"/>
    <col min="2" max="2" width="14.42578125" style="2" customWidth="1"/>
    <col min="3" max="3" width="12.42578125" style="2" customWidth="1"/>
    <col min="4" max="4" width="18.42578125" style="2" bestFit="1" customWidth="1"/>
    <col min="5" max="7" width="15" style="2" bestFit="1" customWidth="1"/>
    <col min="8" max="8" width="16.7109375" style="2" customWidth="1"/>
    <col min="9" max="9" width="13.42578125" style="2" bestFit="1" customWidth="1"/>
    <col min="10" max="11" width="15" style="2" bestFit="1" customWidth="1"/>
    <col min="12" max="12" width="13.42578125" style="2" bestFit="1" customWidth="1"/>
    <col min="13" max="13" width="9.28515625" style="2" bestFit="1" customWidth="1"/>
    <col min="14" max="14" width="13.140625" style="2" bestFit="1" customWidth="1"/>
    <col min="15" max="16384" width="9.140625" style="2"/>
  </cols>
  <sheetData>
    <row r="1" spans="1:12" x14ac:dyDescent="0.25">
      <c r="A1" s="4" t="s">
        <v>81</v>
      </c>
      <c r="B1" s="2" t="s">
        <v>189</v>
      </c>
      <c r="D1" s="4" t="s">
        <v>82</v>
      </c>
      <c r="E1" s="2" t="str">
        <f>IF('Circuit Criminal'!D4="","None",'Circuit Criminal'!D4)</f>
        <v>Brevard</v>
      </c>
      <c r="G1" s="22" t="s">
        <v>119</v>
      </c>
      <c r="H1" s="23" t="s">
        <v>113</v>
      </c>
      <c r="I1" s="23" t="s">
        <v>114</v>
      </c>
      <c r="J1" s="23" t="s">
        <v>115</v>
      </c>
      <c r="K1" s="23" t="s">
        <v>116</v>
      </c>
      <c r="L1" s="24" t="s">
        <v>117</v>
      </c>
    </row>
    <row r="2" spans="1:12" x14ac:dyDescent="0.25">
      <c r="A2" s="4" t="s">
        <v>80</v>
      </c>
      <c r="B2" s="2" t="s">
        <v>188</v>
      </c>
      <c r="G2" s="16">
        <v>1</v>
      </c>
      <c r="H2" s="17" t="s">
        <v>190</v>
      </c>
      <c r="I2" s="17" t="s">
        <v>118</v>
      </c>
      <c r="J2" s="17" t="s">
        <v>208</v>
      </c>
      <c r="K2" s="17">
        <v>21</v>
      </c>
      <c r="L2" s="18">
        <v>100</v>
      </c>
    </row>
    <row r="3" spans="1:12" x14ac:dyDescent="0.25">
      <c r="G3" s="16">
        <v>2</v>
      </c>
      <c r="H3" s="95" t="s">
        <v>210</v>
      </c>
      <c r="I3" s="17" t="s">
        <v>118</v>
      </c>
      <c r="J3" s="17" t="s">
        <v>209</v>
      </c>
      <c r="K3" s="17">
        <v>102</v>
      </c>
      <c r="L3" s="18">
        <v>209</v>
      </c>
    </row>
    <row r="4" spans="1:12" x14ac:dyDescent="0.25">
      <c r="G4" s="16">
        <v>3</v>
      </c>
      <c r="H4" s="95" t="s">
        <v>120</v>
      </c>
      <c r="I4" s="17" t="s">
        <v>118</v>
      </c>
      <c r="J4" s="17" t="s">
        <v>121</v>
      </c>
      <c r="K4" s="17">
        <v>211</v>
      </c>
      <c r="L4" s="18">
        <v>246</v>
      </c>
    </row>
    <row r="5" spans="1:12" x14ac:dyDescent="0.25">
      <c r="A5" s="3" t="s">
        <v>83</v>
      </c>
      <c r="B5" s="26"/>
      <c r="G5" s="16">
        <v>4</v>
      </c>
      <c r="H5" s="17"/>
      <c r="I5" s="17"/>
      <c r="J5" s="17"/>
      <c r="K5" s="17"/>
      <c r="L5" s="18"/>
    </row>
    <row r="6" spans="1:12" x14ac:dyDescent="0.25">
      <c r="A6" s="3" t="s">
        <v>84</v>
      </c>
      <c r="B6" s="27"/>
      <c r="G6" s="16">
        <v>5</v>
      </c>
      <c r="H6" s="17"/>
      <c r="I6" s="17"/>
      <c r="J6" s="17"/>
      <c r="K6" s="17"/>
      <c r="L6" s="18"/>
    </row>
    <row r="7" spans="1:12" x14ac:dyDescent="0.25">
      <c r="A7" s="3" t="s">
        <v>86</v>
      </c>
      <c r="B7" s="2" t="str">
        <f>'Circuit Criminal'!H4</f>
        <v>Qtr 3: Apr - Jun</v>
      </c>
      <c r="G7" s="16">
        <v>6</v>
      </c>
      <c r="H7" s="17"/>
      <c r="I7" s="17"/>
      <c r="J7" s="17"/>
      <c r="K7" s="17"/>
      <c r="L7" s="18"/>
    </row>
    <row r="8" spans="1:12" x14ac:dyDescent="0.25">
      <c r="A8" s="3" t="s">
        <v>88</v>
      </c>
      <c r="B8" s="2">
        <f>IF('Circuit Criminal'!L4="",1,'Circuit Criminal'!L4)</f>
        <v>2</v>
      </c>
      <c r="G8" s="16">
        <v>7</v>
      </c>
      <c r="H8" s="17"/>
      <c r="I8" s="17"/>
      <c r="J8" s="17"/>
      <c r="K8" s="17"/>
      <c r="L8" s="18"/>
    </row>
    <row r="9" spans="1:12" x14ac:dyDescent="0.25">
      <c r="A9" s="3" t="s">
        <v>85</v>
      </c>
      <c r="B9" s="13" t="str">
        <f>IF('Circuit Criminal'!H4="","Unknown",'Circuit Criminal'!H4)</f>
        <v>Qtr 3: Apr - Jun</v>
      </c>
      <c r="C9" s="25"/>
      <c r="G9" s="16">
        <v>8</v>
      </c>
      <c r="H9" s="17"/>
      <c r="I9" s="17"/>
      <c r="J9" s="17"/>
      <c r="K9" s="17"/>
      <c r="L9" s="18"/>
    </row>
    <row r="10" spans="1:12" x14ac:dyDescent="0.25">
      <c r="A10" s="3" t="s">
        <v>87</v>
      </c>
      <c r="B10" s="2" t="str">
        <f>E1&amp;" FY1718 "&amp;B1&amp;" "&amp;B9&amp;" Ver"&amp;B8&amp;" "&amp;TEXT(B5,"Mmddyy")&amp;".xlsx"</f>
        <v>Brevard FY1718 Collections Qtr 3: Apr - Jun Ver2 010000.xlsx</v>
      </c>
      <c r="G10" s="16">
        <v>9</v>
      </c>
      <c r="H10" s="17"/>
      <c r="I10" s="17"/>
      <c r="J10" s="17"/>
      <c r="K10" s="17"/>
      <c r="L10" s="18"/>
    </row>
    <row r="11" spans="1:12" x14ac:dyDescent="0.25">
      <c r="A11" s="3" t="s">
        <v>89</v>
      </c>
      <c r="G11" s="16">
        <v>10</v>
      </c>
      <c r="H11" s="17"/>
      <c r="I11" s="17"/>
      <c r="J11" s="17"/>
      <c r="K11" s="17"/>
      <c r="L11" s="18"/>
    </row>
    <row r="12" spans="1:12" ht="14.25" thickBot="1" x14ac:dyDescent="0.3">
      <c r="G12" s="19">
        <v>11</v>
      </c>
      <c r="H12" s="20"/>
      <c r="I12" s="20"/>
      <c r="J12" s="20"/>
      <c r="K12" s="20"/>
      <c r="L12" s="21"/>
    </row>
    <row r="13" spans="1:12" x14ac:dyDescent="0.25">
      <c r="A13" s="3" t="s">
        <v>112</v>
      </c>
      <c r="B13" s="2">
        <v>3</v>
      </c>
      <c r="G13" s="17"/>
      <c r="H13" s="17"/>
      <c r="I13" s="17"/>
      <c r="J13" s="17"/>
      <c r="K13" s="17"/>
      <c r="L13" s="17"/>
    </row>
    <row r="14" spans="1:12" x14ac:dyDescent="0.25">
      <c r="G14" s="17"/>
      <c r="H14" s="17"/>
      <c r="I14" s="17"/>
      <c r="J14" s="17"/>
      <c r="K14" s="17"/>
      <c r="L14" s="17"/>
    </row>
    <row r="17" spans="1:28" x14ac:dyDescent="0.25">
      <c r="D17" s="13"/>
    </row>
    <row r="20" spans="1:28" ht="27" x14ac:dyDescent="0.25">
      <c r="A20" s="4" t="s">
        <v>71</v>
      </c>
      <c r="B20" s="5" t="s">
        <v>171</v>
      </c>
      <c r="C20" s="5" t="s">
        <v>172</v>
      </c>
      <c r="D20" s="5" t="s">
        <v>173</v>
      </c>
      <c r="E20" s="5" t="s">
        <v>174</v>
      </c>
      <c r="F20" s="5" t="s">
        <v>175</v>
      </c>
      <c r="G20" s="5" t="s">
        <v>176</v>
      </c>
      <c r="H20" s="5" t="s">
        <v>201</v>
      </c>
      <c r="I20" s="5" t="s">
        <v>178</v>
      </c>
      <c r="J20" s="5" t="s">
        <v>179</v>
      </c>
      <c r="K20" s="5" t="s">
        <v>180</v>
      </c>
      <c r="L20" s="5" t="s">
        <v>181</v>
      </c>
      <c r="M20" s="5" t="s">
        <v>202</v>
      </c>
      <c r="N20" s="5" t="s">
        <v>203</v>
      </c>
      <c r="O20" s="4" t="s">
        <v>103</v>
      </c>
    </row>
    <row r="21" spans="1:28" ht="15" x14ac:dyDescent="0.25">
      <c r="A21" s="2">
        <f>IFERROR(INDEX(LookupData!O3:O69,MATCH(E1,LookupData!S3:S69,0)),0)</f>
        <v>5</v>
      </c>
      <c r="B21" t="s">
        <v>104</v>
      </c>
      <c r="C21" t="s">
        <v>191</v>
      </c>
      <c r="D21" s="15">
        <f ca="1">INDIRECT("'"&amp;$B21&amp;"'!$e$14")</f>
        <v>868377.19</v>
      </c>
      <c r="E21" s="15">
        <f ca="1">INDIRECT("'"&amp;$B21&amp;"'!$f$14")</f>
        <v>863638.19</v>
      </c>
      <c r="F21" s="15">
        <f ca="1">INDIRECT("'"&amp;$B21&amp;"'!$g$14")</f>
        <v>862569.19</v>
      </c>
      <c r="G21" s="15">
        <f ca="1">INDIRECT("'"&amp;$B21&amp;"'!$h$14")</f>
        <v>861810.69</v>
      </c>
      <c r="H21" s="15">
        <f ca="1">INDIRECT("'"&amp;$B21&amp;"'!$i$14")</f>
        <v>861395.19</v>
      </c>
      <c r="I21" s="15">
        <f ca="1">INDIRECT("'"&amp;$B21&amp;"'!$e$13")</f>
        <v>44201.15</v>
      </c>
      <c r="J21" s="15">
        <f ca="1">INDIRECT("'"&amp;$B21&amp;"'!$f$13")</f>
        <v>66116.539999999994</v>
      </c>
      <c r="K21" s="15">
        <f ca="1">INDIRECT("'"&amp;$B21&amp;"'!$g$13")</f>
        <v>86903.28</v>
      </c>
      <c r="L21" s="15">
        <f ca="1">INDIRECT("'"&amp;$B21&amp;"'!$h$13")</f>
        <v>108429.11</v>
      </c>
      <c r="M21" s="15">
        <f ca="1">INDIRECT("'"&amp;$B21&amp;"'!$i$13")</f>
        <v>130043.32</v>
      </c>
      <c r="N21" s="94">
        <f ca="1">IFERROR(INDIRECT("'"&amp;$B21&amp;"'!$i$13")/INDIRECT("'"&amp;$B21&amp;"'!$i$14"),1)</f>
        <v>0.15096824490046201</v>
      </c>
      <c r="O21" s="2">
        <v>12</v>
      </c>
      <c r="Q21" s="90"/>
      <c r="R21" s="90"/>
      <c r="S21" s="90"/>
      <c r="T21" s="90"/>
      <c r="U21" s="90"/>
      <c r="V21" s="14"/>
      <c r="Y21" s="14"/>
      <c r="Z21" s="14"/>
      <c r="AA21" s="14"/>
      <c r="AB21" s="14"/>
    </row>
    <row r="22" spans="1:28" ht="15" x14ac:dyDescent="0.25">
      <c r="A22" s="2">
        <f>A$21</f>
        <v>5</v>
      </c>
      <c r="B22" t="s">
        <v>104</v>
      </c>
      <c r="C22" t="s">
        <v>192</v>
      </c>
      <c r="D22" s="15">
        <f ca="1">INDIRECT("'"&amp;$B22&amp;"'!$f$18")</f>
        <v>1008424.44</v>
      </c>
      <c r="E22" s="15">
        <f ca="1">INDIRECT("'"&amp;$B22&amp;"'!$g$18")</f>
        <v>1004094.44</v>
      </c>
      <c r="F22" s="15">
        <f ca="1">INDIRECT("'"&amp;$B22&amp;"'!$h$18")</f>
        <v>1002590.94</v>
      </c>
      <c r="G22" s="15">
        <f ca="1">INDIRECT("'"&amp;$B22&amp;"'!$i$18")</f>
        <v>1002278.94</v>
      </c>
      <c r="H22" s="15">
        <f ca="1">INDIRECT("'"&amp;$B22&amp;"'!$j$18")</f>
        <v>1002016.94</v>
      </c>
      <c r="I22" s="15">
        <f ca="1">INDIRECT("'"&amp;$B22&amp;"'!$f$17")</f>
        <v>40883.269999999997</v>
      </c>
      <c r="J22" s="15">
        <f ca="1">INDIRECT("'"&amp;$B22&amp;"'!$g$17")</f>
        <v>63840.5</v>
      </c>
      <c r="K22" s="15">
        <f ca="1">INDIRECT("'"&amp;$B22&amp;"'!$h$17")</f>
        <v>79916.13</v>
      </c>
      <c r="L22" s="15">
        <f ca="1">INDIRECT("'"&amp;$B22&amp;"'!$i$17")</f>
        <v>100892.2</v>
      </c>
      <c r="M22" s="15">
        <f ca="1">INDIRECT("'"&amp;$B22&amp;"'!$j$17")</f>
        <v>131783.85</v>
      </c>
      <c r="N22" s="94">
        <f ca="1">IFERROR(INDIRECT("'"&amp;$B22&amp;"'!$j$17")/INDIRECT("'"&amp;$B22&amp;"'!$j$18"),1)</f>
        <v>0.131518584905361</v>
      </c>
      <c r="O22" s="2">
        <v>12</v>
      </c>
      <c r="Q22" s="90"/>
      <c r="R22" s="90"/>
      <c r="S22" s="90"/>
      <c r="T22" s="90"/>
      <c r="U22" s="14"/>
      <c r="V22" s="14"/>
      <c r="Y22" s="14"/>
      <c r="Z22" s="14"/>
      <c r="AA22" s="14"/>
      <c r="AB22" s="14"/>
    </row>
    <row r="23" spans="1:28" x14ac:dyDescent="0.25">
      <c r="A23" s="2">
        <f t="shared" ref="A23:A86" si="0">A$21</f>
        <v>5</v>
      </c>
      <c r="B23" t="s">
        <v>104</v>
      </c>
      <c r="C23" t="s">
        <v>193</v>
      </c>
      <c r="D23" s="15">
        <f ca="1">INDIRECT("'"&amp;$B23&amp;"'!$g$22")</f>
        <v>1133018.55</v>
      </c>
      <c r="E23" s="15">
        <f ca="1">INDIRECT("'"&amp;$B23&amp;"'!$h$22")</f>
        <v>1128747.55</v>
      </c>
      <c r="F23" s="15">
        <f ca="1">INDIRECT("'"&amp;$B23&amp;"'!$i$22")</f>
        <v>1127971.55</v>
      </c>
      <c r="G23" s="15">
        <f ca="1">INDIRECT("'"&amp;$B23&amp;"'!$j$22")</f>
        <v>1127156.05</v>
      </c>
      <c r="H23" s="15">
        <f ca="1">INDIRECT("'"&amp;$B23&amp;"'!$k$22")</f>
        <v>1073971.05</v>
      </c>
      <c r="I23" s="15">
        <f ca="1">INDIRECT("'"&amp;$B23&amp;"'!$g$21")</f>
        <v>46107.49</v>
      </c>
      <c r="J23" s="15">
        <f ca="1">INDIRECT("'"&amp;$B23&amp;"'!$h$21")</f>
        <v>64757.55</v>
      </c>
      <c r="K23" s="15">
        <f ca="1">INDIRECT("'"&amp;$B23&amp;"'!$i$21")</f>
        <v>81453.78</v>
      </c>
      <c r="L23" s="15">
        <f ca="1">INDIRECT("'"&amp;$B23&amp;"'!$j$21")</f>
        <v>113190.25</v>
      </c>
      <c r="M23" s="15">
        <f ca="1">INDIRECT("'"&amp;$B23&amp;"'!$k$21")</f>
        <v>138545.32</v>
      </c>
      <c r="N23" s="94">
        <f ca="1">IFERROR(INDIRECT("'"&amp;$B23&amp;"'!$k$21")/INDIRECT("'"&amp;$B23&amp;"'!$k$22"),1)</f>
        <v>0.12900284416418858</v>
      </c>
      <c r="O23" s="2">
        <v>12</v>
      </c>
      <c r="U23" s="14"/>
      <c r="V23" s="14"/>
      <c r="W23" s="14"/>
      <c r="Y23" s="14"/>
      <c r="Z23" s="14"/>
      <c r="AA23" s="14"/>
      <c r="AB23" s="14"/>
    </row>
    <row r="24" spans="1:28" x14ac:dyDescent="0.25">
      <c r="A24" s="2">
        <f t="shared" si="0"/>
        <v>5</v>
      </c>
      <c r="B24" t="s">
        <v>104</v>
      </c>
      <c r="C24" t="s">
        <v>194</v>
      </c>
      <c r="D24" s="15">
        <f ca="1">INDIRECT("'"&amp;$B24&amp;"'!$h$26")</f>
        <v>1170775.79</v>
      </c>
      <c r="E24" s="15">
        <f ca="1">INDIRECT("'"&amp;$B24&amp;"'!$i$26")</f>
        <v>1165331.79</v>
      </c>
      <c r="F24" s="15">
        <f ca="1">INDIRECT("'"&amp;$B24&amp;"'!$j$26")</f>
        <v>1164564.29</v>
      </c>
      <c r="G24" s="15">
        <f ca="1">INDIRECT("'"&amp;$B24&amp;"'!$k$26")</f>
        <v>1163902.29</v>
      </c>
      <c r="H24" s="15">
        <f ca="1">INDIRECT("'"&amp;$B24&amp;"'!$l$26")</f>
        <v>0</v>
      </c>
      <c r="I24" s="15">
        <f ca="1">INDIRECT("'"&amp;$B24&amp;"'!$h$25")</f>
        <v>47326.28</v>
      </c>
      <c r="J24" s="15">
        <f ca="1">INDIRECT("'"&amp;$B24&amp;"'!$i$25")</f>
        <v>68790.47</v>
      </c>
      <c r="K24" s="15">
        <f ca="1">INDIRECT("'"&amp;$B24&amp;"'!$j$25")</f>
        <v>100158.57</v>
      </c>
      <c r="L24" s="15">
        <f ca="1">INDIRECT("'"&amp;$B24&amp;"'!$k$25")</f>
        <v>119592.27</v>
      </c>
      <c r="M24" s="15">
        <f ca="1">INDIRECT("'"&amp;$B24&amp;"'!$l$25")</f>
        <v>0</v>
      </c>
      <c r="N24" s="94">
        <f ca="1">IFERROR(INDIRECT("'"&amp;$B24&amp;"'!$l$25")/INDIRECT("'"&amp;$B24&amp;"'!$l$26"),1)</f>
        <v>1</v>
      </c>
      <c r="O24" s="2">
        <v>12</v>
      </c>
      <c r="U24" s="14"/>
      <c r="V24" s="14"/>
      <c r="X24" s="14"/>
      <c r="Y24" s="14"/>
      <c r="Z24" s="14"/>
      <c r="AA24" s="14"/>
      <c r="AB24" s="14"/>
    </row>
    <row r="25" spans="1:28" x14ac:dyDescent="0.25">
      <c r="A25" s="2">
        <f t="shared" si="0"/>
        <v>5</v>
      </c>
      <c r="B25" t="s">
        <v>104</v>
      </c>
      <c r="C25" t="s">
        <v>227</v>
      </c>
      <c r="D25" s="15">
        <f ca="1">INDIRECT("'"&amp;$B25&amp;"'!$i$30")</f>
        <v>1268761.2</v>
      </c>
      <c r="E25" s="15">
        <f ca="1">INDIRECT("'"&amp;$B25&amp;"'!$j$30")</f>
        <v>1262685.7</v>
      </c>
      <c r="F25" s="15">
        <f ca="1">INDIRECT("'"&amp;$B25&amp;"'!$k$30")</f>
        <v>1262320.2</v>
      </c>
      <c r="G25" s="15">
        <f ca="1">INDIRECT("'"&amp;$B25&amp;"'!$l$30")</f>
        <v>0</v>
      </c>
      <c r="H25" s="15"/>
      <c r="I25" s="15">
        <f ca="1">INDIRECT("'"&amp;$B25&amp;"'!$i$29")</f>
        <v>42628.2</v>
      </c>
      <c r="J25" s="15">
        <f ca="1">INDIRECT("'"&amp;$B25&amp;"'!$j$29")</f>
        <v>63175.43</v>
      </c>
      <c r="K25" s="15">
        <f ca="1">INDIRECT("'"&amp;$B25&amp;"'!$k$29")</f>
        <v>86017.35</v>
      </c>
      <c r="L25" s="15">
        <f ca="1">INDIRECT("'"&amp;$B25&amp;"'!$l$29")</f>
        <v>0</v>
      </c>
      <c r="M25" s="15"/>
      <c r="N25" s="94">
        <v>1</v>
      </c>
      <c r="O25" s="2">
        <v>12</v>
      </c>
      <c r="U25" s="14"/>
      <c r="V25" s="14"/>
      <c r="X25" s="14"/>
      <c r="Y25" s="14"/>
      <c r="Z25" s="14"/>
      <c r="AA25" s="14"/>
      <c r="AB25" s="14"/>
    </row>
    <row r="26" spans="1:28" x14ac:dyDescent="0.25">
      <c r="A26" s="2">
        <f t="shared" si="0"/>
        <v>5</v>
      </c>
      <c r="B26" t="s">
        <v>104</v>
      </c>
      <c r="C26" t="s">
        <v>228</v>
      </c>
      <c r="D26" s="15">
        <f ca="1">INDIRECT("'"&amp;$B26&amp;"'!$j$34")</f>
        <v>1293894.45</v>
      </c>
      <c r="E26" s="15">
        <f ca="1">INDIRECT("'"&amp;$B26&amp;"'!$k$34")</f>
        <v>1289040.45</v>
      </c>
      <c r="F26" s="15">
        <f ca="1">INDIRECT("'"&amp;$B26&amp;"'!$l$34")</f>
        <v>0</v>
      </c>
      <c r="G26" s="15"/>
      <c r="H26" s="15"/>
      <c r="I26" s="15">
        <f ca="1">INDIRECT("'"&amp;$B26&amp;"'!$j$33")</f>
        <v>43634.83</v>
      </c>
      <c r="J26" s="15">
        <f ca="1">INDIRECT("'"&amp;$B26&amp;"'!$k$33")</f>
        <v>67205.59</v>
      </c>
      <c r="K26" s="15">
        <f ca="1">INDIRECT("'"&amp;$B26&amp;"'!$l$33")</f>
        <v>0</v>
      </c>
      <c r="L26" s="15"/>
      <c r="M26" s="15"/>
      <c r="N26" s="94">
        <v>1</v>
      </c>
      <c r="O26" s="2">
        <v>12</v>
      </c>
      <c r="U26" s="14"/>
      <c r="V26" s="14"/>
      <c r="W26" s="14"/>
      <c r="X26" s="14"/>
      <c r="Y26" s="14"/>
      <c r="Z26" s="14"/>
      <c r="AA26" s="14"/>
      <c r="AB26" s="14"/>
    </row>
    <row r="27" spans="1:28" x14ac:dyDescent="0.25">
      <c r="A27" s="2">
        <f t="shared" si="0"/>
        <v>5</v>
      </c>
      <c r="B27" t="s">
        <v>104</v>
      </c>
      <c r="C27" t="s">
        <v>229</v>
      </c>
      <c r="D27" s="15">
        <f ca="1">INDIRECT("'"&amp;$B27&amp;"'!$k$38")</f>
        <v>891894.26</v>
      </c>
      <c r="E27" s="15">
        <f ca="1">INDIRECT("'"&amp;$B27&amp;"'!$l$38")</f>
        <v>0</v>
      </c>
      <c r="F27" s="15"/>
      <c r="G27" s="15"/>
      <c r="H27" s="15"/>
      <c r="I27" s="15">
        <f ca="1">INDIRECT("'"&amp;$B27&amp;"'!$k$37")</f>
        <v>42614.15</v>
      </c>
      <c r="J27" s="15">
        <f ca="1">INDIRECT("'"&amp;$B27&amp;"'!$l$37")</f>
        <v>0</v>
      </c>
      <c r="K27" s="15"/>
      <c r="L27" s="15"/>
      <c r="M27" s="15"/>
      <c r="N27" s="94">
        <v>1</v>
      </c>
      <c r="O27" s="2">
        <v>12</v>
      </c>
      <c r="U27" s="14"/>
      <c r="V27" s="14"/>
      <c r="X27" s="14"/>
      <c r="Y27" s="14"/>
      <c r="Z27" s="14"/>
      <c r="AA27" s="14"/>
      <c r="AB27" s="14"/>
    </row>
    <row r="28" spans="1:28" x14ac:dyDescent="0.25">
      <c r="A28" s="2">
        <f t="shared" si="0"/>
        <v>5</v>
      </c>
      <c r="B28" t="s">
        <v>104</v>
      </c>
      <c r="C28" t="s">
        <v>230</v>
      </c>
      <c r="D28" s="15">
        <f ca="1">INDIRECT("'"&amp;$B28&amp;"'!$l$42")</f>
        <v>0</v>
      </c>
      <c r="E28" s="15"/>
      <c r="F28" s="15"/>
      <c r="G28" s="15"/>
      <c r="H28" s="15"/>
      <c r="I28" s="15">
        <f ca="1">INDIRECT("'"&amp;$B28&amp;"'!$l$41")</f>
        <v>0</v>
      </c>
      <c r="J28" s="15"/>
      <c r="K28" s="15"/>
      <c r="L28" s="15"/>
      <c r="M28" s="15"/>
      <c r="N28" s="94">
        <v>1</v>
      </c>
      <c r="O28" s="2">
        <v>12</v>
      </c>
      <c r="U28" s="14"/>
      <c r="V28" s="14"/>
      <c r="X28" s="14"/>
      <c r="Y28" s="14"/>
      <c r="Z28" s="14"/>
      <c r="AA28" s="14"/>
      <c r="AB28" s="14"/>
    </row>
    <row r="29" spans="1:28" x14ac:dyDescent="0.25">
      <c r="A29" s="2">
        <f t="shared" si="0"/>
        <v>5</v>
      </c>
      <c r="B29" t="s">
        <v>140</v>
      </c>
      <c r="C29" t="s">
        <v>191</v>
      </c>
      <c r="D29" s="15">
        <f t="shared" ref="D29" ca="1" si="1">INDIRECT("'"&amp;$B29&amp;"'!$e$14")</f>
        <v>108183</v>
      </c>
      <c r="E29" s="15">
        <f t="shared" ref="E29" ca="1" si="2">INDIRECT("'"&amp;$B29&amp;"'!$f$14")</f>
        <v>108183</v>
      </c>
      <c r="F29" s="15">
        <f t="shared" ref="F29" ca="1" si="3">INDIRECT("'"&amp;$B29&amp;"'!$g$14")</f>
        <v>108183</v>
      </c>
      <c r="G29" s="15">
        <f t="shared" ref="G29" ca="1" si="4">INDIRECT("'"&amp;$B29&amp;"'!$h$14")</f>
        <v>108183</v>
      </c>
      <c r="H29" s="15">
        <f t="shared" ref="H29" ca="1" si="5">INDIRECT("'"&amp;$B29&amp;"'!$i$14")</f>
        <v>108183</v>
      </c>
      <c r="I29" s="15">
        <f t="shared" ref="I29" ca="1" si="6">INDIRECT("'"&amp;$B29&amp;"'!$e$13")</f>
        <v>181</v>
      </c>
      <c r="J29" s="15">
        <f t="shared" ref="J29" ca="1" si="7">INDIRECT("'"&amp;$B29&amp;"'!$f$13")</f>
        <v>216</v>
      </c>
      <c r="K29" s="15">
        <f t="shared" ref="K29" ca="1" si="8">INDIRECT("'"&amp;$B29&amp;"'!$g$13")</f>
        <v>216</v>
      </c>
      <c r="L29" s="15">
        <f t="shared" ref="L29" ca="1" si="9">INDIRECT("'"&amp;$B29&amp;"'!$h$13")</f>
        <v>416</v>
      </c>
      <c r="M29" s="15">
        <f t="shared" ref="M29" ca="1" si="10">INDIRECT("'"&amp;$B29&amp;"'!$i$13")</f>
        <v>416</v>
      </c>
      <c r="N29" s="94">
        <f ca="1">IFERROR(INDIRECT("'"&amp;$B29&amp;"'!$i$13")/INDIRECT("'"&amp;$B29&amp;"'!$i$14"),1)</f>
        <v>3.8453361433866688E-3</v>
      </c>
      <c r="O29" s="2">
        <v>12</v>
      </c>
      <c r="V29" s="14"/>
      <c r="W29" s="14"/>
      <c r="X29" s="14"/>
      <c r="Y29" s="14"/>
      <c r="Z29" s="14"/>
      <c r="AA29" s="14"/>
    </row>
    <row r="30" spans="1:28" x14ac:dyDescent="0.25">
      <c r="A30" s="2">
        <f t="shared" si="0"/>
        <v>5</v>
      </c>
      <c r="B30" t="s">
        <v>140</v>
      </c>
      <c r="C30" t="s">
        <v>192</v>
      </c>
      <c r="D30" s="15">
        <f t="shared" ref="D30" ca="1" si="11">INDIRECT("'"&amp;$B30&amp;"'!$f$18")</f>
        <v>214540</v>
      </c>
      <c r="E30" s="15">
        <f t="shared" ref="E30" ca="1" si="12">INDIRECT("'"&amp;$B30&amp;"'!$g$18")</f>
        <v>214540</v>
      </c>
      <c r="F30" s="15">
        <f t="shared" ref="F30" ca="1" si="13">INDIRECT("'"&amp;$B30&amp;"'!$h$18")</f>
        <v>214540</v>
      </c>
      <c r="G30" s="15">
        <f t="shared" ref="G30" ca="1" si="14">INDIRECT("'"&amp;$B30&amp;"'!$i$18")</f>
        <v>214540</v>
      </c>
      <c r="H30" s="15">
        <f t="shared" ref="H30" ca="1" si="15">INDIRECT("'"&amp;$B30&amp;"'!$j$18")</f>
        <v>214440</v>
      </c>
      <c r="I30" s="15">
        <f t="shared" ref="I30" ca="1" si="16">INDIRECT("'"&amp;$B30&amp;"'!$f$17")</f>
        <v>794</v>
      </c>
      <c r="J30" s="15">
        <f t="shared" ref="J30" ca="1" si="17">INDIRECT("'"&amp;$B30&amp;"'!$g$17")</f>
        <v>804</v>
      </c>
      <c r="K30" s="15">
        <f t="shared" ref="K30" ca="1" si="18">INDIRECT("'"&amp;$B30&amp;"'!$h$17")</f>
        <v>836</v>
      </c>
      <c r="L30" s="15">
        <f t="shared" ref="L30" ca="1" si="19">INDIRECT("'"&amp;$B30&amp;"'!$i$17")</f>
        <v>836</v>
      </c>
      <c r="M30" s="15">
        <f t="shared" ref="M30" ca="1" si="20">INDIRECT("'"&amp;$B30&amp;"'!$j$17")</f>
        <v>859.46</v>
      </c>
      <c r="N30" s="94">
        <f ca="1">IFERROR(INDIRECT("'"&amp;$B30&amp;"'!$j$17")/INDIRECT("'"&amp;$B30&amp;"'!$j$18"),1)</f>
        <v>4.0079276254430148E-3</v>
      </c>
      <c r="O30" s="2">
        <v>12</v>
      </c>
      <c r="V30" s="14"/>
      <c r="W30" s="14"/>
      <c r="X30" s="14"/>
      <c r="Y30" s="14"/>
      <c r="Z30" s="14"/>
      <c r="AA30" s="14"/>
    </row>
    <row r="31" spans="1:28" x14ac:dyDescent="0.25">
      <c r="A31" s="2">
        <f t="shared" si="0"/>
        <v>5</v>
      </c>
      <c r="B31" t="s">
        <v>140</v>
      </c>
      <c r="C31" t="s">
        <v>193</v>
      </c>
      <c r="D31" s="15">
        <f t="shared" ref="D31" ca="1" si="21">INDIRECT("'"&amp;$B31&amp;"'!$g$22")</f>
        <v>344673</v>
      </c>
      <c r="E31" s="15">
        <f t="shared" ref="E31" ca="1" si="22">INDIRECT("'"&amp;$B31&amp;"'!$h$22")</f>
        <v>344673</v>
      </c>
      <c r="F31" s="15">
        <f t="shared" ref="F31" ca="1" si="23">INDIRECT("'"&amp;$B31&amp;"'!$i$22")</f>
        <v>344673</v>
      </c>
      <c r="G31" s="15">
        <f t="shared" ref="G31" ca="1" si="24">INDIRECT("'"&amp;$B31&amp;"'!$j$22")</f>
        <v>344073</v>
      </c>
      <c r="H31" s="15">
        <f t="shared" ref="H31" ca="1" si="25">INDIRECT("'"&amp;$B31&amp;"'!$k$22")</f>
        <v>291573</v>
      </c>
      <c r="I31" s="15">
        <f t="shared" ref="I31" ca="1" si="26">INDIRECT("'"&amp;$B31&amp;"'!$g$21")</f>
        <v>277</v>
      </c>
      <c r="J31" s="15">
        <f t="shared" ref="J31" ca="1" si="27">INDIRECT("'"&amp;$B31&amp;"'!$h$21")</f>
        <v>277</v>
      </c>
      <c r="K31" s="15">
        <f t="shared" ref="K31" ca="1" si="28">INDIRECT("'"&amp;$B31&amp;"'!$i$21")</f>
        <v>284.57</v>
      </c>
      <c r="L31" s="15">
        <f t="shared" ref="L31" ca="1" si="29">INDIRECT("'"&amp;$B31&amp;"'!$j$21")</f>
        <v>347.92</v>
      </c>
      <c r="M31" s="15">
        <f t="shared" ref="M31" ca="1" si="30">INDIRECT("'"&amp;$B31&amp;"'!$k$21")</f>
        <v>379.24</v>
      </c>
      <c r="N31" s="94">
        <f ca="1">IFERROR(INDIRECT("'"&amp;$B31&amp;"'!$k$21")/INDIRECT("'"&amp;$B31&amp;"'!$k$22"),1)</f>
        <v>1.3006691291717683E-3</v>
      </c>
      <c r="O31" s="2">
        <v>12</v>
      </c>
      <c r="V31" s="14"/>
      <c r="W31" s="14"/>
      <c r="X31" s="14"/>
      <c r="Y31" s="14"/>
      <c r="Z31" s="14"/>
      <c r="AA31" s="14"/>
    </row>
    <row r="32" spans="1:28" x14ac:dyDescent="0.25">
      <c r="A32" s="2">
        <f t="shared" si="0"/>
        <v>5</v>
      </c>
      <c r="B32" t="s">
        <v>140</v>
      </c>
      <c r="C32" t="s">
        <v>194</v>
      </c>
      <c r="D32" s="15">
        <f t="shared" ref="D32" ca="1" si="31">INDIRECT("'"&amp;$B32&amp;"'!$h$26")</f>
        <v>372135</v>
      </c>
      <c r="E32" s="15">
        <f t="shared" ref="E32" ca="1" si="32">INDIRECT("'"&amp;$B32&amp;"'!$i$26")</f>
        <v>372135</v>
      </c>
      <c r="F32" s="15">
        <f t="shared" ref="F32" ca="1" si="33">INDIRECT("'"&amp;$B32&amp;"'!$j$26")</f>
        <v>372035</v>
      </c>
      <c r="G32" s="15">
        <f t="shared" ref="G32" ca="1" si="34">INDIRECT("'"&amp;$B32&amp;"'!$k$26")</f>
        <v>372035</v>
      </c>
      <c r="H32" s="15">
        <f t="shared" ref="H32" ca="1" si="35">INDIRECT("'"&amp;$B32&amp;"'!$l$26")</f>
        <v>0</v>
      </c>
      <c r="I32" s="15">
        <f t="shared" ref="I32" ca="1" si="36">INDIRECT("'"&amp;$B32&amp;"'!$h$25")</f>
        <v>129</v>
      </c>
      <c r="J32" s="15">
        <f t="shared" ref="J32" ca="1" si="37">INDIRECT("'"&amp;$B32&amp;"'!$i$25")</f>
        <v>149</v>
      </c>
      <c r="K32" s="15">
        <f t="shared" ref="K32" ca="1" si="38">INDIRECT("'"&amp;$B32&amp;"'!$j$25")</f>
        <v>164</v>
      </c>
      <c r="L32" s="15">
        <f t="shared" ref="L32" ca="1" si="39">INDIRECT("'"&amp;$B32&amp;"'!$k$25")</f>
        <v>164</v>
      </c>
      <c r="M32" s="15">
        <f t="shared" ref="M32" ca="1" si="40">INDIRECT("'"&amp;$B32&amp;"'!$l$25")</f>
        <v>0</v>
      </c>
      <c r="N32" s="94">
        <f ca="1">IFERROR(INDIRECT("'"&amp;$B32&amp;"'!$l$25")/INDIRECT("'"&amp;$B32&amp;"'!$l$26"),1)</f>
        <v>1</v>
      </c>
      <c r="O32" s="2">
        <v>12</v>
      </c>
      <c r="V32" s="14"/>
      <c r="W32" s="14"/>
      <c r="X32" s="14"/>
      <c r="Y32" s="14"/>
      <c r="Z32" s="14"/>
      <c r="AA32" s="14"/>
    </row>
    <row r="33" spans="1:27" x14ac:dyDescent="0.25">
      <c r="A33" s="2">
        <f t="shared" si="0"/>
        <v>5</v>
      </c>
      <c r="B33" t="s">
        <v>140</v>
      </c>
      <c r="C33" t="s">
        <v>227</v>
      </c>
      <c r="D33" s="15">
        <f t="shared" ref="D33" ca="1" si="41">INDIRECT("'"&amp;$B33&amp;"'!$i$30")</f>
        <v>527003</v>
      </c>
      <c r="E33" s="15">
        <f t="shared" ref="E33" ca="1" si="42">INDIRECT("'"&amp;$B33&amp;"'!$j$30")</f>
        <v>527003</v>
      </c>
      <c r="F33" s="15">
        <f t="shared" ref="F33" ca="1" si="43">INDIRECT("'"&amp;$B33&amp;"'!$k$30")</f>
        <v>527003</v>
      </c>
      <c r="G33" s="15">
        <f t="shared" ref="G33" ca="1" si="44">INDIRECT("'"&amp;$B33&amp;"'!$l$30")</f>
        <v>0</v>
      </c>
      <c r="H33" s="15"/>
      <c r="I33" s="15">
        <f t="shared" ref="I33" ca="1" si="45">INDIRECT("'"&amp;$B33&amp;"'!$i$29")</f>
        <v>224</v>
      </c>
      <c r="J33" s="15">
        <f t="shared" ref="J33" ca="1" si="46">INDIRECT("'"&amp;$B33&amp;"'!$j$29")</f>
        <v>317.98</v>
      </c>
      <c r="K33" s="15">
        <f t="shared" ref="K33" ca="1" si="47">INDIRECT("'"&amp;$B33&amp;"'!$k$29")</f>
        <v>324.98</v>
      </c>
      <c r="L33" s="15">
        <f t="shared" ref="L33" ca="1" si="48">INDIRECT("'"&amp;$B33&amp;"'!$l$29")</f>
        <v>0</v>
      </c>
      <c r="M33" s="15"/>
      <c r="N33" s="94">
        <v>1</v>
      </c>
      <c r="O33" s="2">
        <v>12</v>
      </c>
      <c r="V33" s="14"/>
      <c r="W33" s="14"/>
      <c r="X33" s="14"/>
      <c r="Y33" s="14"/>
      <c r="Z33" s="14"/>
      <c r="AA33" s="14"/>
    </row>
    <row r="34" spans="1:27" x14ac:dyDescent="0.25">
      <c r="A34" s="2">
        <f t="shared" si="0"/>
        <v>5</v>
      </c>
      <c r="B34" t="s">
        <v>140</v>
      </c>
      <c r="C34" t="s">
        <v>228</v>
      </c>
      <c r="D34" s="15">
        <f t="shared" ref="D34" ca="1" si="49">INDIRECT("'"&amp;$B34&amp;"'!$j$34")</f>
        <v>173944.5</v>
      </c>
      <c r="E34" s="15">
        <f t="shared" ref="E34" ca="1" si="50">INDIRECT("'"&amp;$B34&amp;"'!$k$34")</f>
        <v>173944.5</v>
      </c>
      <c r="F34" s="15">
        <f t="shared" ref="F34" ca="1" si="51">INDIRECT("'"&amp;$B34&amp;"'!$l$34")</f>
        <v>0</v>
      </c>
      <c r="G34" s="15"/>
      <c r="H34" s="15"/>
      <c r="I34" s="15">
        <f t="shared" ref="I34" ca="1" si="52">INDIRECT("'"&amp;$B34&amp;"'!$j$33")</f>
        <v>316</v>
      </c>
      <c r="J34" s="15">
        <f t="shared" ref="J34" ca="1" si="53">INDIRECT("'"&amp;$B34&amp;"'!$k$33")</f>
        <v>323</v>
      </c>
      <c r="K34" s="15">
        <f t="shared" ref="K34" ca="1" si="54">INDIRECT("'"&amp;$B34&amp;"'!$l$33")</f>
        <v>0</v>
      </c>
      <c r="L34" s="15"/>
      <c r="M34" s="15"/>
      <c r="N34" s="94">
        <v>1</v>
      </c>
      <c r="O34" s="2">
        <v>12</v>
      </c>
      <c r="V34" s="14"/>
      <c r="W34" s="14"/>
      <c r="X34" s="14"/>
      <c r="Y34" s="14"/>
      <c r="Z34" s="14"/>
      <c r="AA34" s="14"/>
    </row>
    <row r="35" spans="1:27" x14ac:dyDescent="0.25">
      <c r="A35" s="2">
        <f t="shared" si="0"/>
        <v>5</v>
      </c>
      <c r="B35" t="s">
        <v>140</v>
      </c>
      <c r="C35" t="s">
        <v>229</v>
      </c>
      <c r="D35" s="15">
        <f t="shared" ref="D35" ca="1" si="55">INDIRECT("'"&amp;$B35&amp;"'!$k$38")</f>
        <v>107661</v>
      </c>
      <c r="E35" s="15">
        <f t="shared" ref="E35" ca="1" si="56">INDIRECT("'"&amp;$B35&amp;"'!$l$38")</f>
        <v>0</v>
      </c>
      <c r="F35" s="15"/>
      <c r="G35" s="15"/>
      <c r="H35" s="15"/>
      <c r="I35" s="15">
        <f t="shared" ref="I35" ca="1" si="57">INDIRECT("'"&amp;$B35&amp;"'!$k$37")</f>
        <v>380</v>
      </c>
      <c r="J35" s="15">
        <f t="shared" ref="J35" ca="1" si="58">INDIRECT("'"&amp;$B35&amp;"'!$l$37")</f>
        <v>0</v>
      </c>
      <c r="K35" s="15"/>
      <c r="L35" s="15"/>
      <c r="M35" s="15"/>
      <c r="N35" s="94">
        <v>1</v>
      </c>
      <c r="O35" s="2">
        <v>12</v>
      </c>
      <c r="V35" s="14"/>
      <c r="W35" s="14"/>
      <c r="X35" s="14"/>
      <c r="Y35" s="14"/>
      <c r="Z35" s="14"/>
      <c r="AA35" s="14"/>
    </row>
    <row r="36" spans="1:27" x14ac:dyDescent="0.25">
      <c r="A36" s="2">
        <f t="shared" si="0"/>
        <v>5</v>
      </c>
      <c r="B36" t="s">
        <v>140</v>
      </c>
      <c r="C36" t="s">
        <v>230</v>
      </c>
      <c r="D36" s="15">
        <f t="shared" ref="D36" ca="1" si="59">INDIRECT("'"&amp;$B36&amp;"'!$l$42")</f>
        <v>0</v>
      </c>
      <c r="E36" s="15"/>
      <c r="F36" s="15"/>
      <c r="G36" s="15"/>
      <c r="H36" s="15"/>
      <c r="I36" s="15">
        <f t="shared" ref="I36" ca="1" si="60">INDIRECT("'"&amp;$B36&amp;"'!$l$41")</f>
        <v>0</v>
      </c>
      <c r="J36" s="15"/>
      <c r="K36" s="15"/>
      <c r="L36" s="15"/>
      <c r="M36" s="15"/>
      <c r="N36" s="94">
        <v>1</v>
      </c>
      <c r="O36" s="2">
        <v>12</v>
      </c>
      <c r="V36" s="14"/>
      <c r="W36" s="14"/>
      <c r="X36" s="14"/>
      <c r="Y36" s="14"/>
      <c r="Z36" s="14"/>
      <c r="AA36" s="14"/>
    </row>
    <row r="37" spans="1:27" x14ac:dyDescent="0.25">
      <c r="A37" s="2">
        <f t="shared" si="0"/>
        <v>5</v>
      </c>
      <c r="B37" t="s">
        <v>105</v>
      </c>
      <c r="C37" t="s">
        <v>191</v>
      </c>
      <c r="D37" s="15">
        <f t="shared" ref="D37" ca="1" si="61">INDIRECT("'"&amp;$B37&amp;"'!$e$14")</f>
        <v>515994.45</v>
      </c>
      <c r="E37" s="15">
        <f t="shared" ref="E37" ca="1" si="62">INDIRECT("'"&amp;$B37&amp;"'!$f$14")</f>
        <v>508382.45</v>
      </c>
      <c r="F37" s="15">
        <f t="shared" ref="F37" ca="1" si="63">INDIRECT("'"&amp;$B37&amp;"'!$g$14")</f>
        <v>507932.45</v>
      </c>
      <c r="G37" s="15">
        <f t="shared" ref="G37" ca="1" si="64">INDIRECT("'"&amp;$B37&amp;"'!$h$14")</f>
        <v>507382.45</v>
      </c>
      <c r="H37" s="15">
        <f t="shared" ref="H37" ca="1" si="65">INDIRECT("'"&amp;$B37&amp;"'!$i$14")</f>
        <v>507282.45</v>
      </c>
      <c r="I37" s="15">
        <f t="shared" ref="I37" ca="1" si="66">INDIRECT("'"&amp;$B37&amp;"'!$e$13")</f>
        <v>84906.36</v>
      </c>
      <c r="J37" s="15">
        <f t="shared" ref="J37" ca="1" si="67">INDIRECT("'"&amp;$B37&amp;"'!$f$13")</f>
        <v>128151.17</v>
      </c>
      <c r="K37" s="15">
        <f t="shared" ref="K37" ca="1" si="68">INDIRECT("'"&amp;$B37&amp;"'!$g$13")</f>
        <v>164161.95000000001</v>
      </c>
      <c r="L37" s="15">
        <f t="shared" ref="L37" ca="1" si="69">INDIRECT("'"&amp;$B37&amp;"'!$h$13")</f>
        <v>183817</v>
      </c>
      <c r="M37" s="15">
        <f t="shared" ref="M37" ca="1" si="70">INDIRECT("'"&amp;$B37&amp;"'!$i$13")</f>
        <v>202721.99</v>
      </c>
      <c r="N37" s="94">
        <f ca="1">IFERROR(INDIRECT("'"&amp;$B37&amp;"'!$i$13")/INDIRECT("'"&amp;$B37&amp;"'!$i$14"),1)</f>
        <v>0.39962350363195098</v>
      </c>
      <c r="O37" s="2">
        <v>12</v>
      </c>
    </row>
    <row r="38" spans="1:27" x14ac:dyDescent="0.25">
      <c r="A38" s="2">
        <f t="shared" si="0"/>
        <v>5</v>
      </c>
      <c r="B38" t="s">
        <v>105</v>
      </c>
      <c r="C38" t="s">
        <v>192</v>
      </c>
      <c r="D38" s="15">
        <f t="shared" ref="D38" ca="1" si="71">INDIRECT("'"&amp;$B38&amp;"'!$f$18")</f>
        <v>506053.75</v>
      </c>
      <c r="E38" s="15">
        <f t="shared" ref="E38" ca="1" si="72">INDIRECT("'"&amp;$B38&amp;"'!$g$18")</f>
        <v>502424.75</v>
      </c>
      <c r="F38" s="15">
        <f t="shared" ref="F38" ca="1" si="73">INDIRECT("'"&amp;$B38&amp;"'!$h$18")</f>
        <v>501624.75</v>
      </c>
      <c r="G38" s="15">
        <f t="shared" ref="G38" ca="1" si="74">INDIRECT("'"&amp;$B38&amp;"'!$i$18")</f>
        <v>501171.25</v>
      </c>
      <c r="H38" s="15">
        <f t="shared" ref="H38" ca="1" si="75">INDIRECT("'"&amp;$B38&amp;"'!$j$18")</f>
        <v>500805.25</v>
      </c>
      <c r="I38" s="15">
        <f t="shared" ref="I38" ca="1" si="76">INDIRECT("'"&amp;$B38&amp;"'!$f$17")</f>
        <v>91595.4</v>
      </c>
      <c r="J38" s="15">
        <f t="shared" ref="J38" ca="1" si="77">INDIRECT("'"&amp;$B38&amp;"'!$g$17")</f>
        <v>129930.03</v>
      </c>
      <c r="K38" s="15">
        <f t="shared" ref="K38" ca="1" si="78">INDIRECT("'"&amp;$B38&amp;"'!$h$17")</f>
        <v>166095.93</v>
      </c>
      <c r="L38" s="15">
        <f t="shared" ref="L38" ca="1" si="79">INDIRECT("'"&amp;$B38&amp;"'!$i$17")</f>
        <v>184066.74</v>
      </c>
      <c r="M38" s="15">
        <f t="shared" ref="M38" ca="1" si="80">INDIRECT("'"&amp;$B38&amp;"'!$j$17")</f>
        <v>213579.68</v>
      </c>
      <c r="N38" s="94">
        <f ca="1">IFERROR(INDIRECT("'"&amp;$B38&amp;"'!$j$17")/INDIRECT("'"&amp;$B38&amp;"'!$j$18"),1)</f>
        <v>0.42647252599688201</v>
      </c>
      <c r="O38" s="2">
        <v>12</v>
      </c>
    </row>
    <row r="39" spans="1:27" x14ac:dyDescent="0.25">
      <c r="A39" s="2">
        <f t="shared" si="0"/>
        <v>5</v>
      </c>
      <c r="B39" t="s">
        <v>105</v>
      </c>
      <c r="C39" t="s">
        <v>193</v>
      </c>
      <c r="D39" s="15">
        <f t="shared" ref="D39" ca="1" si="81">INDIRECT("'"&amp;$B39&amp;"'!$g$22")</f>
        <v>577403.57999999996</v>
      </c>
      <c r="E39" s="15">
        <f t="shared" ref="E39" ca="1" si="82">INDIRECT("'"&amp;$B39&amp;"'!$h$22")</f>
        <v>572889.57999999996</v>
      </c>
      <c r="F39" s="15">
        <f t="shared" ref="F39" ca="1" si="83">INDIRECT("'"&amp;$B39&amp;"'!$i$22")</f>
        <v>572085</v>
      </c>
      <c r="G39" s="15">
        <f t="shared" ref="G39" ca="1" si="84">INDIRECT("'"&amp;$B39&amp;"'!$j$22")</f>
        <v>571461.57999999996</v>
      </c>
      <c r="H39" s="15">
        <f t="shared" ref="H39" ca="1" si="85">INDIRECT("'"&amp;$B39&amp;"'!$k$22")</f>
        <v>570818.07999999996</v>
      </c>
      <c r="I39" s="15">
        <f t="shared" ref="I39" ca="1" si="86">INDIRECT("'"&amp;$B39&amp;"'!$g$21")</f>
        <v>95364.54</v>
      </c>
      <c r="J39" s="15">
        <f t="shared" ref="J39" ca="1" si="87">INDIRECT("'"&amp;$B39&amp;"'!$h$21")</f>
        <v>133447.14000000001</v>
      </c>
      <c r="K39" s="15">
        <f t="shared" ref="K39" ca="1" si="88">INDIRECT("'"&amp;$B39&amp;"'!$i$21")</f>
        <v>167182.42000000001</v>
      </c>
      <c r="L39" s="15">
        <f t="shared" ref="L39" ca="1" si="89">INDIRECT("'"&amp;$B39&amp;"'!$j$21")</f>
        <v>201116.76</v>
      </c>
      <c r="M39" s="15">
        <f t="shared" ref="M39" ca="1" si="90">INDIRECT("'"&amp;$B39&amp;"'!$k$21")</f>
        <v>225112.83</v>
      </c>
      <c r="N39" s="94">
        <f ca="1">IFERROR(INDIRECT("'"&amp;$B39&amp;"'!$k$21")/INDIRECT("'"&amp;$B39&amp;"'!$k$22"),1)</f>
        <v>0.39436878033015355</v>
      </c>
      <c r="O39" s="2">
        <v>12</v>
      </c>
    </row>
    <row r="40" spans="1:27" x14ac:dyDescent="0.25">
      <c r="A40" s="2">
        <f t="shared" si="0"/>
        <v>5</v>
      </c>
      <c r="B40" t="s">
        <v>105</v>
      </c>
      <c r="C40" t="s">
        <v>194</v>
      </c>
      <c r="D40" s="15">
        <f t="shared" ref="D40" ca="1" si="91">INDIRECT("'"&amp;$B40&amp;"'!$h$26")</f>
        <v>587918.86</v>
      </c>
      <c r="E40" s="15">
        <f t="shared" ref="E40" ca="1" si="92">INDIRECT("'"&amp;$B40&amp;"'!$i$26")</f>
        <v>581929.36</v>
      </c>
      <c r="F40" s="15">
        <f t="shared" ref="F40" ca="1" si="93">INDIRECT("'"&amp;$B40&amp;"'!$j$26")</f>
        <v>580892.36</v>
      </c>
      <c r="G40" s="15">
        <f t="shared" ref="G40" ca="1" si="94">INDIRECT("'"&amp;$B40&amp;"'!$k$26")</f>
        <v>580192.36</v>
      </c>
      <c r="H40" s="15">
        <f t="shared" ref="H40" ca="1" si="95">INDIRECT("'"&amp;$B40&amp;"'!$l$26")</f>
        <v>0</v>
      </c>
      <c r="I40" s="15">
        <f t="shared" ref="I40" ca="1" si="96">INDIRECT("'"&amp;$B40&amp;"'!$h$25")</f>
        <v>96028.98</v>
      </c>
      <c r="J40" s="15">
        <f t="shared" ref="J40" ca="1" si="97">INDIRECT("'"&amp;$B40&amp;"'!$i$25")</f>
        <v>130000.89</v>
      </c>
      <c r="K40" s="15">
        <f t="shared" ref="K40" ca="1" si="98">INDIRECT("'"&amp;$B40&amp;"'!$j$25")</f>
        <v>172329.24</v>
      </c>
      <c r="L40" s="15">
        <f t="shared" ref="L40" ca="1" si="99">INDIRECT("'"&amp;$B40&amp;"'!$k$25")</f>
        <v>201710.8</v>
      </c>
      <c r="M40" s="15">
        <f t="shared" ref="M40" ca="1" si="100">INDIRECT("'"&amp;$B40&amp;"'!$l$25")</f>
        <v>0</v>
      </c>
      <c r="N40" s="94">
        <f ca="1">IFERROR(INDIRECT("'"&amp;$B40&amp;"'!$l$25")/INDIRECT("'"&amp;$B40&amp;"'!$l$26"),1)</f>
        <v>1</v>
      </c>
      <c r="O40" s="2">
        <v>12</v>
      </c>
    </row>
    <row r="41" spans="1:27" x14ac:dyDescent="0.25">
      <c r="A41" s="2">
        <f t="shared" si="0"/>
        <v>5</v>
      </c>
      <c r="B41" t="s">
        <v>105</v>
      </c>
      <c r="C41" t="s">
        <v>227</v>
      </c>
      <c r="D41" s="15">
        <f t="shared" ref="D41" ca="1" si="101">INDIRECT("'"&amp;$B41&amp;"'!$i$30")</f>
        <v>532791.19999999995</v>
      </c>
      <c r="E41" s="15">
        <f t="shared" ref="E41" ca="1" si="102">INDIRECT("'"&amp;$B41&amp;"'!$j$30")</f>
        <v>525804.19999999995</v>
      </c>
      <c r="F41" s="15">
        <f t="shared" ref="F41" ca="1" si="103">INDIRECT("'"&amp;$B41&amp;"'!$k$30")</f>
        <v>524930.19999999995</v>
      </c>
      <c r="G41" s="15">
        <f t="shared" ref="G41" ca="1" si="104">INDIRECT("'"&amp;$B41&amp;"'!$l$30")</f>
        <v>0</v>
      </c>
      <c r="H41" s="15"/>
      <c r="I41" s="15">
        <f t="shared" ref="I41" ca="1" si="105">INDIRECT("'"&amp;$B41&amp;"'!$i$29")</f>
        <v>72813.91</v>
      </c>
      <c r="J41" s="15">
        <f t="shared" ref="J41" ca="1" si="106">INDIRECT("'"&amp;$B41&amp;"'!$j$29")</f>
        <v>116359.84</v>
      </c>
      <c r="K41" s="15">
        <f t="shared" ref="K41" ca="1" si="107">INDIRECT("'"&amp;$B41&amp;"'!$k$29")</f>
        <v>152319.07999999999</v>
      </c>
      <c r="L41" s="15">
        <f t="shared" ref="L41" ca="1" si="108">INDIRECT("'"&amp;$B41&amp;"'!$l$29")</f>
        <v>0</v>
      </c>
      <c r="M41" s="15"/>
      <c r="N41" s="94">
        <v>1</v>
      </c>
      <c r="O41" s="2">
        <v>12</v>
      </c>
    </row>
    <row r="42" spans="1:27" x14ac:dyDescent="0.25">
      <c r="A42" s="2">
        <f t="shared" si="0"/>
        <v>5</v>
      </c>
      <c r="B42" t="s">
        <v>105</v>
      </c>
      <c r="C42" t="s">
        <v>228</v>
      </c>
      <c r="D42" s="15">
        <f t="shared" ref="D42" ca="1" si="109">INDIRECT("'"&amp;$B42&amp;"'!$j$34")</f>
        <v>510011.75</v>
      </c>
      <c r="E42" s="15">
        <f t="shared" ref="E42" ca="1" si="110">INDIRECT("'"&amp;$B42&amp;"'!$k$34")</f>
        <v>503104.25</v>
      </c>
      <c r="F42" s="15">
        <f t="shared" ref="F42" ca="1" si="111">INDIRECT("'"&amp;$B42&amp;"'!$l$34")</f>
        <v>0</v>
      </c>
      <c r="G42" s="15"/>
      <c r="H42" s="15"/>
      <c r="I42" s="15">
        <f t="shared" ref="I42" ca="1" si="112">INDIRECT("'"&amp;$B42&amp;"'!$j$33")</f>
        <v>89997.52</v>
      </c>
      <c r="J42" s="15">
        <f t="shared" ref="J42" ca="1" si="113">INDIRECT("'"&amp;$B42&amp;"'!$k$33")</f>
        <v>126916.42</v>
      </c>
      <c r="K42" s="15">
        <f t="shared" ref="K42" ca="1" si="114">INDIRECT("'"&amp;$B42&amp;"'!$l$33")</f>
        <v>0</v>
      </c>
      <c r="L42" s="15"/>
      <c r="M42" s="15"/>
      <c r="N42" s="94">
        <v>1</v>
      </c>
      <c r="O42" s="2">
        <v>12</v>
      </c>
    </row>
    <row r="43" spans="1:27" x14ac:dyDescent="0.25">
      <c r="A43" s="2">
        <f t="shared" si="0"/>
        <v>5</v>
      </c>
      <c r="B43" t="s">
        <v>105</v>
      </c>
      <c r="C43" t="s">
        <v>229</v>
      </c>
      <c r="D43" s="15">
        <f t="shared" ref="D43" ca="1" si="115">INDIRECT("'"&amp;$B43&amp;"'!$k$38")</f>
        <v>515552.01</v>
      </c>
      <c r="E43" s="15">
        <f t="shared" ref="E43" ca="1" si="116">INDIRECT("'"&amp;$B43&amp;"'!$l$38")</f>
        <v>0</v>
      </c>
      <c r="F43" s="15"/>
      <c r="G43" s="15"/>
      <c r="H43" s="15"/>
      <c r="I43" s="15">
        <f t="shared" ref="I43" ca="1" si="117">INDIRECT("'"&amp;$B43&amp;"'!$k$37")</f>
        <v>99655.84</v>
      </c>
      <c r="J43" s="15">
        <f t="shared" ref="J43" ca="1" si="118">INDIRECT("'"&amp;$B43&amp;"'!$l$37")</f>
        <v>0</v>
      </c>
      <c r="K43" s="15"/>
      <c r="L43" s="15"/>
      <c r="M43" s="15"/>
      <c r="N43" s="94">
        <v>1</v>
      </c>
      <c r="O43" s="2">
        <v>12</v>
      </c>
    </row>
    <row r="44" spans="1:27" x14ac:dyDescent="0.25">
      <c r="A44" s="2">
        <f t="shared" si="0"/>
        <v>5</v>
      </c>
      <c r="B44" t="s">
        <v>105</v>
      </c>
      <c r="C44" t="s">
        <v>230</v>
      </c>
      <c r="D44" s="15">
        <f t="shared" ref="D44" ca="1" si="119">INDIRECT("'"&amp;$B44&amp;"'!$l$42")</f>
        <v>0</v>
      </c>
      <c r="E44" s="15"/>
      <c r="F44" s="15"/>
      <c r="G44" s="15"/>
      <c r="H44" s="15"/>
      <c r="I44" s="15">
        <f t="shared" ref="I44" ca="1" si="120">INDIRECT("'"&amp;$B44&amp;"'!$l$41")</f>
        <v>0</v>
      </c>
      <c r="J44" s="15"/>
      <c r="K44" s="15"/>
      <c r="L44" s="15"/>
      <c r="M44" s="15"/>
      <c r="N44" s="94">
        <v>1</v>
      </c>
      <c r="O44" s="2">
        <v>12</v>
      </c>
    </row>
    <row r="45" spans="1:27" x14ac:dyDescent="0.25">
      <c r="A45" s="2">
        <f t="shared" si="0"/>
        <v>5</v>
      </c>
      <c r="B45" t="s">
        <v>111</v>
      </c>
      <c r="C45" t="s">
        <v>191</v>
      </c>
      <c r="D45" s="15">
        <f t="shared" ref="D45" ca="1" si="121">INDIRECT("'"&amp;$B45&amp;"'!$e$14")</f>
        <v>28156.6</v>
      </c>
      <c r="E45" s="15">
        <f t="shared" ref="E45" ca="1" si="122">INDIRECT("'"&amp;$B45&amp;"'!$f$14")</f>
        <v>27856.6</v>
      </c>
      <c r="F45" s="15">
        <f t="shared" ref="F45" ca="1" si="123">INDIRECT("'"&amp;$B45&amp;"'!$g$14")</f>
        <v>27306.6</v>
      </c>
      <c r="G45" s="15">
        <f t="shared" ref="G45" ca="1" si="124">INDIRECT("'"&amp;$B45&amp;"'!$h$14")</f>
        <v>27156.6</v>
      </c>
      <c r="H45" s="15">
        <f t="shared" ref="H45" ca="1" si="125">INDIRECT("'"&amp;$B45&amp;"'!$i$14")</f>
        <v>27156.6</v>
      </c>
      <c r="I45" s="15">
        <f t="shared" ref="I45" ca="1" si="126">INDIRECT("'"&amp;$B45&amp;"'!$e$13")</f>
        <v>1011.1</v>
      </c>
      <c r="J45" s="15">
        <f t="shared" ref="J45" ca="1" si="127">INDIRECT("'"&amp;$B45&amp;"'!$f$13")</f>
        <v>1286.0999999999999</v>
      </c>
      <c r="K45" s="15">
        <f t="shared" ref="K45" ca="1" si="128">INDIRECT("'"&amp;$B45&amp;"'!$g$13")</f>
        <v>1406.1</v>
      </c>
      <c r="L45" s="15">
        <f t="shared" ref="L45" ca="1" si="129">INDIRECT("'"&amp;$B45&amp;"'!$h$13")</f>
        <v>1431.1</v>
      </c>
      <c r="M45" s="15">
        <f t="shared" ref="M45" ca="1" si="130">INDIRECT("'"&amp;$B45&amp;"'!$i$13")</f>
        <v>2018.1</v>
      </c>
      <c r="N45" s="94">
        <f ca="1">IFERROR(INDIRECT("'"&amp;$B45&amp;"'!$i$13")/INDIRECT("'"&amp;$B45&amp;"'!$i$14"),1)</f>
        <v>7.4313426570336488E-2</v>
      </c>
      <c r="O45" s="2">
        <v>12</v>
      </c>
    </row>
    <row r="46" spans="1:27" x14ac:dyDescent="0.25">
      <c r="A46" s="2">
        <f t="shared" si="0"/>
        <v>5</v>
      </c>
      <c r="B46" t="s">
        <v>111</v>
      </c>
      <c r="C46" t="s">
        <v>192</v>
      </c>
      <c r="D46" s="15">
        <f t="shared" ref="D46" ca="1" si="131">INDIRECT("'"&amp;$B46&amp;"'!$f$18")</f>
        <v>36785.35</v>
      </c>
      <c r="E46" s="15">
        <f t="shared" ref="E46" ca="1" si="132">INDIRECT("'"&amp;$B46&amp;"'!$g$18")</f>
        <v>36235.35</v>
      </c>
      <c r="F46" s="15">
        <f t="shared" ref="F46" ca="1" si="133">INDIRECT("'"&amp;$B46&amp;"'!$h$18")</f>
        <v>35835.35</v>
      </c>
      <c r="G46" s="15">
        <f t="shared" ref="G46" ca="1" si="134">INDIRECT("'"&amp;$B46&amp;"'!$i$18")</f>
        <v>35535.35</v>
      </c>
      <c r="H46" s="15">
        <f t="shared" ref="H46" ca="1" si="135">INDIRECT("'"&amp;$B46&amp;"'!$j$18")</f>
        <v>35535.35</v>
      </c>
      <c r="I46" s="15">
        <f t="shared" ref="I46" ca="1" si="136">INDIRECT("'"&amp;$B46&amp;"'!$f$17")</f>
        <v>881.85</v>
      </c>
      <c r="J46" s="15">
        <f t="shared" ref="J46" ca="1" si="137">INDIRECT("'"&amp;$B46&amp;"'!$g$17")</f>
        <v>1249.8499999999999</v>
      </c>
      <c r="K46" s="15">
        <f t="shared" ref="K46" ca="1" si="138">INDIRECT("'"&amp;$B46&amp;"'!$h$17")</f>
        <v>1324.85</v>
      </c>
      <c r="L46" s="15">
        <f t="shared" ref="L46" ca="1" si="139">INDIRECT("'"&amp;$B46&amp;"'!$i$17")</f>
        <v>1528.35</v>
      </c>
      <c r="M46" s="15">
        <f t="shared" ref="M46" ca="1" si="140">INDIRECT("'"&amp;$B46&amp;"'!$j$17")</f>
        <v>2016.35</v>
      </c>
      <c r="N46" s="94">
        <f ca="1">IFERROR(INDIRECT("'"&amp;$B46&amp;"'!$j$17")/INDIRECT("'"&amp;$B46&amp;"'!$j$18"),1)</f>
        <v>5.6742089215386933E-2</v>
      </c>
      <c r="O46" s="2">
        <v>12</v>
      </c>
    </row>
    <row r="47" spans="1:27" x14ac:dyDescent="0.25">
      <c r="A47" s="2">
        <f t="shared" si="0"/>
        <v>5</v>
      </c>
      <c r="B47" t="s">
        <v>111</v>
      </c>
      <c r="C47" t="s">
        <v>193</v>
      </c>
      <c r="D47" s="15">
        <f t="shared" ref="D47" ca="1" si="141">INDIRECT("'"&amp;$B47&amp;"'!$g$22")</f>
        <v>36918</v>
      </c>
      <c r="E47" s="15">
        <f t="shared" ref="E47" ca="1" si="142">INDIRECT("'"&amp;$B47&amp;"'!$h$22")</f>
        <v>36068</v>
      </c>
      <c r="F47" s="15">
        <f t="shared" ref="F47" ca="1" si="143">INDIRECT("'"&amp;$B47&amp;"'!$i$22")</f>
        <v>35518</v>
      </c>
      <c r="G47" s="15">
        <f t="shared" ref="G47" ca="1" si="144">INDIRECT("'"&amp;$B47&amp;"'!$j$22")</f>
        <v>35368</v>
      </c>
      <c r="H47" s="15">
        <f t="shared" ref="H47" ca="1" si="145">INDIRECT("'"&amp;$B47&amp;"'!$k$22")</f>
        <v>35218</v>
      </c>
      <c r="I47" s="15">
        <f t="shared" ref="I47" ca="1" si="146">INDIRECT("'"&amp;$B47&amp;"'!$g$21")</f>
        <v>926</v>
      </c>
      <c r="J47" s="15">
        <f t="shared" ref="J47" ca="1" si="147">INDIRECT("'"&amp;$B47&amp;"'!$h$21")</f>
        <v>1301</v>
      </c>
      <c r="K47" s="15">
        <f t="shared" ref="K47" ca="1" si="148">INDIRECT("'"&amp;$B47&amp;"'!$i$21")</f>
        <v>1301</v>
      </c>
      <c r="L47" s="15">
        <f t="shared" ref="L47" ca="1" si="149">INDIRECT("'"&amp;$B47&amp;"'!$j$21")</f>
        <v>1301</v>
      </c>
      <c r="M47" s="15">
        <f t="shared" ref="M47" ca="1" si="150">INDIRECT("'"&amp;$B47&amp;"'!$k$21")</f>
        <v>1301</v>
      </c>
      <c r="N47" s="94">
        <f ca="1">IFERROR(INDIRECT("'"&amp;$B47&amp;"'!$k$21")/INDIRECT("'"&amp;$B47&amp;"'!$k$22"),1)</f>
        <v>3.6941336816400702E-2</v>
      </c>
      <c r="O47" s="2">
        <v>12</v>
      </c>
    </row>
    <row r="48" spans="1:27" x14ac:dyDescent="0.25">
      <c r="A48" s="2">
        <f t="shared" si="0"/>
        <v>5</v>
      </c>
      <c r="B48" t="s">
        <v>111</v>
      </c>
      <c r="C48" t="s">
        <v>194</v>
      </c>
      <c r="D48" s="15">
        <f t="shared" ref="D48" ca="1" si="151">INDIRECT("'"&amp;$B48&amp;"'!$h$26")</f>
        <v>26413.45</v>
      </c>
      <c r="E48" s="15">
        <f t="shared" ref="E48" ca="1" si="152">INDIRECT("'"&amp;$B48&amp;"'!$i$26")</f>
        <v>25663.45</v>
      </c>
      <c r="F48" s="15">
        <f t="shared" ref="F48" ca="1" si="153">INDIRECT("'"&amp;$B48&amp;"'!$j$26")</f>
        <v>25363.45</v>
      </c>
      <c r="G48" s="15">
        <f t="shared" ref="G48" ca="1" si="154">INDIRECT("'"&amp;$B48&amp;"'!$k$26")</f>
        <v>25313.45</v>
      </c>
      <c r="H48" s="15">
        <f t="shared" ref="H48" ca="1" si="155">INDIRECT("'"&amp;$B48&amp;"'!$l$26")</f>
        <v>0</v>
      </c>
      <c r="I48" s="15">
        <f t="shared" ref="I48" ca="1" si="156">INDIRECT("'"&amp;$B48&amp;"'!$h$25")</f>
        <v>1014.45</v>
      </c>
      <c r="J48" s="15">
        <f t="shared" ref="J48" ca="1" si="157">INDIRECT("'"&amp;$B48&amp;"'!$i$25")</f>
        <v>1214.45</v>
      </c>
      <c r="K48" s="15">
        <f t="shared" ref="K48" ca="1" si="158">INDIRECT("'"&amp;$B48&amp;"'!$j$25")</f>
        <v>1264.45</v>
      </c>
      <c r="L48" s="15">
        <f t="shared" ref="L48" ca="1" si="159">INDIRECT("'"&amp;$B48&amp;"'!$k$25")</f>
        <v>1264.45</v>
      </c>
      <c r="M48" s="15">
        <f t="shared" ref="M48" ca="1" si="160">INDIRECT("'"&amp;$B48&amp;"'!$l$25")</f>
        <v>0</v>
      </c>
      <c r="N48" s="94">
        <f ca="1">IFERROR(INDIRECT("'"&amp;$B48&amp;"'!$l$25")/INDIRECT("'"&amp;$B48&amp;"'!$l$26"),1)</f>
        <v>1</v>
      </c>
      <c r="O48" s="2">
        <v>12</v>
      </c>
    </row>
    <row r="49" spans="1:15" x14ac:dyDescent="0.25">
      <c r="A49" s="2">
        <f t="shared" si="0"/>
        <v>5</v>
      </c>
      <c r="B49" t="s">
        <v>111</v>
      </c>
      <c r="C49" t="s">
        <v>227</v>
      </c>
      <c r="D49" s="15">
        <f t="shared" ref="D49" ca="1" si="161">INDIRECT("'"&amp;$B49&amp;"'!$i$30")</f>
        <v>25844.1</v>
      </c>
      <c r="E49" s="15">
        <f t="shared" ref="E49" ca="1" si="162">INDIRECT("'"&amp;$B49&amp;"'!$j$30")</f>
        <v>24744.1</v>
      </c>
      <c r="F49" s="15">
        <f t="shared" ref="F49" ca="1" si="163">INDIRECT("'"&amp;$B49&amp;"'!$k$30")</f>
        <v>24394.1</v>
      </c>
      <c r="G49" s="15">
        <f t="shared" ref="G49" ca="1" si="164">INDIRECT("'"&amp;$B49&amp;"'!$l$30")</f>
        <v>0</v>
      </c>
      <c r="H49" s="15"/>
      <c r="I49" s="15">
        <f t="shared" ref="I49" ca="1" si="165">INDIRECT("'"&amp;$B49&amp;"'!$i$29")</f>
        <v>1043.0999999999999</v>
      </c>
      <c r="J49" s="15">
        <f t="shared" ref="J49" ca="1" si="166">INDIRECT("'"&amp;$B49&amp;"'!$j$29")</f>
        <v>1393.1</v>
      </c>
      <c r="K49" s="15">
        <f t="shared" ref="K49" ca="1" si="167">INDIRECT("'"&amp;$B49&amp;"'!$k$29")</f>
        <v>1481.1</v>
      </c>
      <c r="L49" s="15">
        <f t="shared" ref="L49" ca="1" si="168">INDIRECT("'"&amp;$B49&amp;"'!$l$29")</f>
        <v>0</v>
      </c>
      <c r="M49" s="15"/>
      <c r="N49" s="94">
        <v>1</v>
      </c>
      <c r="O49" s="2">
        <v>12</v>
      </c>
    </row>
    <row r="50" spans="1:15" x14ac:dyDescent="0.25">
      <c r="A50" s="2">
        <f t="shared" si="0"/>
        <v>5</v>
      </c>
      <c r="B50" t="s">
        <v>111</v>
      </c>
      <c r="C50" t="s">
        <v>228</v>
      </c>
      <c r="D50" s="15">
        <f t="shared" ref="D50" ca="1" si="169">INDIRECT("'"&amp;$B50&amp;"'!$j$34")</f>
        <v>21028.9</v>
      </c>
      <c r="E50" s="15">
        <f t="shared" ref="E50" ca="1" si="170">INDIRECT("'"&amp;$B50&amp;"'!$k$34")</f>
        <v>19478.900000000001</v>
      </c>
      <c r="F50" s="15">
        <f t="shared" ref="F50" ca="1" si="171">INDIRECT("'"&amp;$B50&amp;"'!$l$34")</f>
        <v>0</v>
      </c>
      <c r="G50" s="15"/>
      <c r="H50" s="15"/>
      <c r="I50" s="15">
        <f t="shared" ref="I50" ca="1" si="172">INDIRECT("'"&amp;$B50&amp;"'!$j$33")</f>
        <v>792.9</v>
      </c>
      <c r="J50" s="15">
        <f t="shared" ref="J50" ca="1" si="173">INDIRECT("'"&amp;$B50&amp;"'!$k$33")</f>
        <v>892.9</v>
      </c>
      <c r="K50" s="15">
        <f t="shared" ref="K50" ca="1" si="174">INDIRECT("'"&amp;$B50&amp;"'!$l$33")</f>
        <v>0</v>
      </c>
      <c r="L50" s="15"/>
      <c r="M50" s="15"/>
      <c r="N50" s="94">
        <v>1</v>
      </c>
      <c r="O50" s="2">
        <v>12</v>
      </c>
    </row>
    <row r="51" spans="1:15" x14ac:dyDescent="0.25">
      <c r="A51" s="2">
        <f t="shared" si="0"/>
        <v>5</v>
      </c>
      <c r="B51" t="s">
        <v>111</v>
      </c>
      <c r="C51" t="s">
        <v>229</v>
      </c>
      <c r="D51" s="15">
        <f t="shared" ref="D51" ca="1" si="175">INDIRECT("'"&amp;$B51&amp;"'!$k$38")</f>
        <v>33640.65</v>
      </c>
      <c r="E51" s="15">
        <f t="shared" ref="E51" ca="1" si="176">INDIRECT("'"&amp;$B51&amp;"'!$l$38")</f>
        <v>0</v>
      </c>
      <c r="F51" s="15"/>
      <c r="G51" s="15"/>
      <c r="H51" s="15"/>
      <c r="I51" s="15">
        <f t="shared" ref="I51" ca="1" si="177">INDIRECT("'"&amp;$B51&amp;"'!$k$37")</f>
        <v>539.65</v>
      </c>
      <c r="J51" s="15">
        <f t="shared" ref="J51" ca="1" si="178">INDIRECT("'"&amp;$B51&amp;"'!$l$37")</f>
        <v>0</v>
      </c>
      <c r="K51" s="15"/>
      <c r="L51" s="15"/>
      <c r="M51" s="15"/>
      <c r="N51" s="94">
        <v>1</v>
      </c>
      <c r="O51" s="2">
        <v>12</v>
      </c>
    </row>
    <row r="52" spans="1:15" x14ac:dyDescent="0.25">
      <c r="A52" s="2">
        <f t="shared" si="0"/>
        <v>5</v>
      </c>
      <c r="B52" t="s">
        <v>111</v>
      </c>
      <c r="C52" t="s">
        <v>230</v>
      </c>
      <c r="D52" s="15">
        <f t="shared" ref="D52" ca="1" si="179">INDIRECT("'"&amp;$B52&amp;"'!$l$42")</f>
        <v>0</v>
      </c>
      <c r="E52" s="15"/>
      <c r="F52" s="15"/>
      <c r="G52" s="15"/>
      <c r="H52" s="15"/>
      <c r="I52" s="15">
        <f t="shared" ref="I52" ca="1" si="180">INDIRECT("'"&amp;$B52&amp;"'!$l$41")</f>
        <v>0</v>
      </c>
      <c r="J52" s="15"/>
      <c r="K52" s="15"/>
      <c r="L52" s="15"/>
      <c r="M52" s="15"/>
      <c r="N52" s="94">
        <v>1</v>
      </c>
      <c r="O52" s="2">
        <v>12</v>
      </c>
    </row>
    <row r="53" spans="1:15" x14ac:dyDescent="0.25">
      <c r="A53" s="2">
        <f t="shared" si="0"/>
        <v>5</v>
      </c>
      <c r="B53" t="s">
        <v>109</v>
      </c>
      <c r="C53" t="s">
        <v>191</v>
      </c>
      <c r="D53" s="15">
        <f t="shared" ref="D53" ca="1" si="181">INDIRECT("'"&amp;$B53&amp;"'!$e$14")</f>
        <v>709701.7</v>
      </c>
      <c r="E53" s="15">
        <f t="shared" ref="E53" ca="1" si="182">INDIRECT("'"&amp;$B53&amp;"'!$f$14")</f>
        <v>704213.53</v>
      </c>
      <c r="F53" s="15">
        <f t="shared" ref="F53" ca="1" si="183">INDIRECT("'"&amp;$B53&amp;"'!$g$14")</f>
        <v>699185.53</v>
      </c>
      <c r="G53" s="15">
        <f t="shared" ref="G53" ca="1" si="184">INDIRECT("'"&amp;$B53&amp;"'!$h$14")</f>
        <v>697866.53</v>
      </c>
      <c r="H53" s="15">
        <f t="shared" ref="H53" ca="1" si="185">INDIRECT("'"&amp;$B53&amp;"'!$i$14")</f>
        <v>697048.53</v>
      </c>
      <c r="I53" s="15">
        <f t="shared" ref="I53" ca="1" si="186">INDIRECT("'"&amp;$B53&amp;"'!$e$13")</f>
        <v>142119.42000000001</v>
      </c>
      <c r="J53" s="15">
        <f t="shared" ref="J53" ca="1" si="187">INDIRECT("'"&amp;$B53&amp;"'!$f$13")</f>
        <v>240950.6</v>
      </c>
      <c r="K53" s="15">
        <f t="shared" ref="K53" ca="1" si="188">INDIRECT("'"&amp;$B53&amp;"'!$g$13")</f>
        <v>310633.63</v>
      </c>
      <c r="L53" s="15">
        <f t="shared" ref="L53" ca="1" si="189">INDIRECT("'"&amp;$B53&amp;"'!$h$13")</f>
        <v>354942.94</v>
      </c>
      <c r="M53" s="15">
        <f t="shared" ref="M53" ca="1" si="190">INDIRECT("'"&amp;$B53&amp;"'!$i$13")</f>
        <v>385877.2</v>
      </c>
      <c r="N53" s="94">
        <f ca="1">IFERROR(INDIRECT("'"&amp;$B53&amp;"'!$i$13")/INDIRECT("'"&amp;$B53&amp;"'!$i$14"),1)</f>
        <v>0.55358728035765314</v>
      </c>
      <c r="O53" s="2">
        <v>12</v>
      </c>
    </row>
    <row r="54" spans="1:15" x14ac:dyDescent="0.25">
      <c r="A54" s="2">
        <f t="shared" si="0"/>
        <v>5</v>
      </c>
      <c r="B54" t="s">
        <v>109</v>
      </c>
      <c r="C54" t="s">
        <v>192</v>
      </c>
      <c r="D54" s="15">
        <f t="shared" ref="D54" ca="1" si="191">INDIRECT("'"&amp;$B54&amp;"'!$f$18")</f>
        <v>735151.2</v>
      </c>
      <c r="E54" s="15">
        <f t="shared" ref="E54" ca="1" si="192">INDIRECT("'"&amp;$B54&amp;"'!$g$18")</f>
        <v>727577.2</v>
      </c>
      <c r="F54" s="15">
        <f t="shared" ref="F54" ca="1" si="193">INDIRECT("'"&amp;$B54&amp;"'!$h$18")</f>
        <v>724250.2</v>
      </c>
      <c r="G54" s="15">
        <f t="shared" ref="G54" ca="1" si="194">INDIRECT("'"&amp;$B54&amp;"'!$i$18")</f>
        <v>722432.2</v>
      </c>
      <c r="H54" s="15">
        <f t="shared" ref="H54" ca="1" si="195">INDIRECT("'"&amp;$B54&amp;"'!$j$18")</f>
        <v>721587.19999999995</v>
      </c>
      <c r="I54" s="15">
        <f t="shared" ref="I54" ca="1" si="196">INDIRECT("'"&amp;$B54&amp;"'!$f$17")</f>
        <v>170793.61</v>
      </c>
      <c r="J54" s="15">
        <f t="shared" ref="J54" ca="1" si="197">INDIRECT("'"&amp;$B54&amp;"'!$g$17")</f>
        <v>243384.69</v>
      </c>
      <c r="K54" s="15">
        <f t="shared" ref="K54" ca="1" si="198">INDIRECT("'"&amp;$B54&amp;"'!$h$17")</f>
        <v>303743.24</v>
      </c>
      <c r="L54" s="15">
        <f t="shared" ref="L54" ca="1" si="199">INDIRECT("'"&amp;$B54&amp;"'!$i$17")</f>
        <v>354371.55</v>
      </c>
      <c r="M54" s="15">
        <f t="shared" ref="M54" ca="1" si="200">INDIRECT("'"&amp;$B54&amp;"'!$j$17")</f>
        <v>414266.75</v>
      </c>
      <c r="N54" s="94">
        <f ca="1">IFERROR(INDIRECT("'"&amp;$B54&amp;"'!$j$17")/INDIRECT("'"&amp;$B54&amp;"'!$j$18"),1)</f>
        <v>0.57410490374552103</v>
      </c>
      <c r="O54" s="2">
        <v>12</v>
      </c>
    </row>
    <row r="55" spans="1:15" x14ac:dyDescent="0.25">
      <c r="A55" s="2">
        <f t="shared" si="0"/>
        <v>5</v>
      </c>
      <c r="B55" t="s">
        <v>109</v>
      </c>
      <c r="C55" t="s">
        <v>193</v>
      </c>
      <c r="D55" s="15">
        <f t="shared" ref="D55" ca="1" si="201">INDIRECT("'"&amp;$B55&amp;"'!$g$22")</f>
        <v>763209.25</v>
      </c>
      <c r="E55" s="15">
        <f t="shared" ref="E55" ca="1" si="202">INDIRECT("'"&amp;$B55&amp;"'!$h$22")</f>
        <v>756733.25</v>
      </c>
      <c r="F55" s="15">
        <f t="shared" ref="F55" ca="1" si="203">INDIRECT("'"&amp;$B55&amp;"'!$i$22")</f>
        <v>749104.25</v>
      </c>
      <c r="G55" s="15">
        <f t="shared" ref="G55" ca="1" si="204">INDIRECT("'"&amp;$B55&amp;"'!$j$22")</f>
        <v>746571.25</v>
      </c>
      <c r="H55" s="15">
        <f t="shared" ref="H55" ca="1" si="205">INDIRECT("'"&amp;$B55&amp;"'!$k$22")</f>
        <v>745929.25</v>
      </c>
      <c r="I55" s="15">
        <f t="shared" ref="I55" ca="1" si="206">INDIRECT("'"&amp;$B55&amp;"'!$g$21")</f>
        <v>142812.13</v>
      </c>
      <c r="J55" s="15">
        <f t="shared" ref="J55" ca="1" si="207">INDIRECT("'"&amp;$B55&amp;"'!$h$21")</f>
        <v>216008.62</v>
      </c>
      <c r="K55" s="15">
        <f t="shared" ref="K55" ca="1" si="208">INDIRECT("'"&amp;$B55&amp;"'!$i$21")</f>
        <v>279000.71000000002</v>
      </c>
      <c r="L55" s="15">
        <f t="shared" ref="L55" ca="1" si="209">INDIRECT("'"&amp;$B55&amp;"'!$j$21")</f>
        <v>352366.35</v>
      </c>
      <c r="M55" s="15">
        <f t="shared" ref="M55" ca="1" si="210">INDIRECT("'"&amp;$B55&amp;"'!$k$21")</f>
        <v>403712.08</v>
      </c>
      <c r="N55" s="94">
        <f ca="1">IFERROR(INDIRECT("'"&amp;$B55&amp;"'!$k$21")/INDIRECT("'"&amp;$B55&amp;"'!$k$22"),1)</f>
        <v>0.54122033691533078</v>
      </c>
      <c r="O55" s="2">
        <v>12</v>
      </c>
    </row>
    <row r="56" spans="1:15" x14ac:dyDescent="0.25">
      <c r="A56" s="2">
        <f t="shared" si="0"/>
        <v>5</v>
      </c>
      <c r="B56" t="s">
        <v>109</v>
      </c>
      <c r="C56" t="s">
        <v>194</v>
      </c>
      <c r="D56" s="15">
        <f t="shared" ref="D56" ca="1" si="211">INDIRECT("'"&amp;$B56&amp;"'!$h$26")</f>
        <v>696790.6</v>
      </c>
      <c r="E56" s="15">
        <f t="shared" ref="E56" ca="1" si="212">INDIRECT("'"&amp;$B56&amp;"'!$i$26")</f>
        <v>691202.6</v>
      </c>
      <c r="F56" s="15">
        <f t="shared" ref="F56" ca="1" si="213">INDIRECT("'"&amp;$B56&amp;"'!$j$26")</f>
        <v>682152.6</v>
      </c>
      <c r="G56" s="15">
        <f t="shared" ref="G56" ca="1" si="214">INDIRECT("'"&amp;$B56&amp;"'!$k$26")</f>
        <v>679979.6</v>
      </c>
      <c r="H56" s="15">
        <f t="shared" ref="H56" ca="1" si="215">INDIRECT("'"&amp;$B56&amp;"'!$l$26")</f>
        <v>0</v>
      </c>
      <c r="I56" s="15">
        <f t="shared" ref="I56" ca="1" si="216">INDIRECT("'"&amp;$B56&amp;"'!$h$25")</f>
        <v>137486.17000000001</v>
      </c>
      <c r="J56" s="15">
        <f t="shared" ref="J56" ca="1" si="217">INDIRECT("'"&amp;$B56&amp;"'!$i$25")</f>
        <v>207485.2</v>
      </c>
      <c r="K56" s="15">
        <f t="shared" ref="K56" ca="1" si="218">INDIRECT("'"&amp;$B56&amp;"'!$j$25")</f>
        <v>284365.27</v>
      </c>
      <c r="L56" s="15">
        <f t="shared" ref="L56" ca="1" si="219">INDIRECT("'"&amp;$B56&amp;"'!$k$25")</f>
        <v>343468.636</v>
      </c>
      <c r="M56" s="15">
        <f t="shared" ref="M56" ca="1" si="220">INDIRECT("'"&amp;$B56&amp;"'!$l$25")</f>
        <v>0</v>
      </c>
      <c r="N56" s="94">
        <f ca="1">IFERROR(INDIRECT("'"&amp;$B56&amp;"'!$l$25")/INDIRECT("'"&amp;$B56&amp;"'!$l$26"),1)</f>
        <v>1</v>
      </c>
      <c r="O56" s="2">
        <v>12</v>
      </c>
    </row>
    <row r="57" spans="1:15" x14ac:dyDescent="0.25">
      <c r="A57" s="2">
        <f t="shared" si="0"/>
        <v>5</v>
      </c>
      <c r="B57" t="s">
        <v>109</v>
      </c>
      <c r="C57" t="s">
        <v>227</v>
      </c>
      <c r="D57" s="15">
        <f t="shared" ref="D57" ca="1" si="221">INDIRECT("'"&amp;$B57&amp;"'!$i$30")</f>
        <v>606334.75</v>
      </c>
      <c r="E57" s="15">
        <f t="shared" ref="E57" ca="1" si="222">INDIRECT("'"&amp;$B57&amp;"'!$j$30")</f>
        <v>598148.75</v>
      </c>
      <c r="F57" s="15">
        <f t="shared" ref="F57" ca="1" si="223">INDIRECT("'"&amp;$B57&amp;"'!$k$30")</f>
        <v>589879.25</v>
      </c>
      <c r="G57" s="15">
        <f t="shared" ref="G57" ca="1" si="224">INDIRECT("'"&amp;$B57&amp;"'!$l$30")</f>
        <v>0</v>
      </c>
      <c r="H57" s="15"/>
      <c r="I57" s="15">
        <f t="shared" ref="I57" ca="1" si="225">INDIRECT("'"&amp;$B57&amp;"'!$i$29")</f>
        <v>120599.44</v>
      </c>
      <c r="J57" s="15">
        <f t="shared" ref="J57" ca="1" si="226">INDIRECT("'"&amp;$B57&amp;"'!$j$29")</f>
        <v>194386.76</v>
      </c>
      <c r="K57" s="15">
        <f t="shared" ref="K57" ca="1" si="227">INDIRECT("'"&amp;$B57&amp;"'!$k$29")</f>
        <v>250781.63</v>
      </c>
      <c r="L57" s="15">
        <f t="shared" ref="L57" ca="1" si="228">INDIRECT("'"&amp;$B57&amp;"'!$l$29")</f>
        <v>0</v>
      </c>
      <c r="M57" s="15"/>
      <c r="N57" s="94">
        <v>1</v>
      </c>
      <c r="O57" s="2">
        <v>12</v>
      </c>
    </row>
    <row r="58" spans="1:15" x14ac:dyDescent="0.25">
      <c r="A58" s="2">
        <f t="shared" si="0"/>
        <v>5</v>
      </c>
      <c r="B58" t="s">
        <v>109</v>
      </c>
      <c r="C58" t="s">
        <v>228</v>
      </c>
      <c r="D58" s="15">
        <f t="shared" ref="D58" ca="1" si="229">INDIRECT("'"&amp;$B58&amp;"'!$j$34")</f>
        <v>606610.9</v>
      </c>
      <c r="E58" s="15">
        <f t="shared" ref="E58" ca="1" si="230">INDIRECT("'"&amp;$B58&amp;"'!$k$34")</f>
        <v>600360.9</v>
      </c>
      <c r="F58" s="15">
        <f t="shared" ref="F58" ca="1" si="231">INDIRECT("'"&amp;$B58&amp;"'!$l$34")</f>
        <v>0</v>
      </c>
      <c r="G58" s="15"/>
      <c r="H58" s="15"/>
      <c r="I58" s="15">
        <f t="shared" ref="I58" ca="1" si="232">INDIRECT("'"&amp;$B58&amp;"'!$j$33")</f>
        <v>146834.54999999999</v>
      </c>
      <c r="J58" s="15">
        <f t="shared" ref="J58" ca="1" si="233">INDIRECT("'"&amp;$B58&amp;"'!$k$33")</f>
        <v>200797.26</v>
      </c>
      <c r="K58" s="15">
        <f t="shared" ref="K58" ca="1" si="234">INDIRECT("'"&amp;$B58&amp;"'!$l$33")</f>
        <v>0</v>
      </c>
      <c r="L58" s="15"/>
      <c r="M58" s="15"/>
      <c r="N58" s="94">
        <v>1</v>
      </c>
      <c r="O58" s="2">
        <v>12</v>
      </c>
    </row>
    <row r="59" spans="1:15" x14ac:dyDescent="0.25">
      <c r="A59" s="2">
        <f t="shared" si="0"/>
        <v>5</v>
      </c>
      <c r="B59" t="s">
        <v>109</v>
      </c>
      <c r="C59" t="s">
        <v>229</v>
      </c>
      <c r="D59" s="15">
        <f t="shared" ref="D59" ca="1" si="235">INDIRECT("'"&amp;$B59&amp;"'!$k$38")</f>
        <v>674003.75</v>
      </c>
      <c r="E59" s="15">
        <f t="shared" ref="E59" ca="1" si="236">INDIRECT("'"&amp;$B59&amp;"'!$l$38")</f>
        <v>0</v>
      </c>
      <c r="F59" s="15"/>
      <c r="G59" s="15"/>
      <c r="H59" s="15"/>
      <c r="I59" s="15">
        <f t="shared" ref="I59" ca="1" si="237">INDIRECT("'"&amp;$B59&amp;"'!$k$37")</f>
        <v>140868.96</v>
      </c>
      <c r="J59" s="15">
        <f t="shared" ref="J59" ca="1" si="238">INDIRECT("'"&amp;$B59&amp;"'!$l$37")</f>
        <v>0</v>
      </c>
      <c r="K59" s="15"/>
      <c r="L59" s="15"/>
      <c r="M59" s="15"/>
      <c r="N59" s="94">
        <v>1</v>
      </c>
      <c r="O59" s="2">
        <v>12</v>
      </c>
    </row>
    <row r="60" spans="1:15" x14ac:dyDescent="0.25">
      <c r="A60" s="2">
        <f t="shared" si="0"/>
        <v>5</v>
      </c>
      <c r="B60" t="s">
        <v>109</v>
      </c>
      <c r="C60" t="s">
        <v>230</v>
      </c>
      <c r="D60" s="15">
        <f t="shared" ref="D60" ca="1" si="239">INDIRECT("'"&amp;$B60&amp;"'!$l$42")</f>
        <v>0</v>
      </c>
      <c r="E60" s="15"/>
      <c r="F60" s="15"/>
      <c r="G60" s="15"/>
      <c r="H60" s="15"/>
      <c r="I60" s="15">
        <f t="shared" ref="I60" ca="1" si="240">INDIRECT("'"&amp;$B60&amp;"'!$l$41")</f>
        <v>0</v>
      </c>
      <c r="J60" s="15"/>
      <c r="K60" s="15"/>
      <c r="L60" s="15"/>
      <c r="M60" s="15"/>
      <c r="N60" s="94">
        <v>1</v>
      </c>
      <c r="O60" s="2">
        <v>12</v>
      </c>
    </row>
    <row r="61" spans="1:15" x14ac:dyDescent="0.25">
      <c r="A61" s="2">
        <f t="shared" si="0"/>
        <v>5</v>
      </c>
      <c r="B61" t="s">
        <v>106</v>
      </c>
      <c r="C61" t="s">
        <v>191</v>
      </c>
      <c r="D61" s="15">
        <f t="shared" ref="D61" ca="1" si="241">INDIRECT("'"&amp;$B61&amp;"'!$e$14")</f>
        <v>411850.29</v>
      </c>
      <c r="E61" s="15">
        <f t="shared" ref="E61" ca="1" si="242">INDIRECT("'"&amp;$B61&amp;"'!$f$14")</f>
        <v>411750.29</v>
      </c>
      <c r="F61" s="15">
        <f t="shared" ref="F61" ca="1" si="243">INDIRECT("'"&amp;$B61&amp;"'!$g$14")</f>
        <v>411750.29</v>
      </c>
      <c r="G61" s="15">
        <f t="shared" ref="G61" ca="1" si="244">INDIRECT("'"&amp;$B61&amp;"'!$h$14")</f>
        <v>411650.29</v>
      </c>
      <c r="H61" s="15">
        <f t="shared" ref="H61" ca="1" si="245">INDIRECT("'"&amp;$B61&amp;"'!$i$14")</f>
        <v>411650.29</v>
      </c>
      <c r="I61" s="15">
        <f t="shared" ref="I61" ca="1" si="246">INDIRECT("'"&amp;$B61&amp;"'!$e$13")</f>
        <v>365931.24</v>
      </c>
      <c r="J61" s="15">
        <f t="shared" ref="J61" ca="1" si="247">INDIRECT("'"&amp;$B61&amp;"'!$f$13")</f>
        <v>407324.09</v>
      </c>
      <c r="K61" s="15">
        <f t="shared" ref="K61" ca="1" si="248">INDIRECT("'"&amp;$B61&amp;"'!$g$13")</f>
        <v>407803.31</v>
      </c>
      <c r="L61" s="15">
        <f t="shared" ref="L61" ca="1" si="249">INDIRECT("'"&amp;$B61&amp;"'!$h$13")</f>
        <v>405610.31</v>
      </c>
      <c r="M61" s="15">
        <f t="shared" ref="M61" ca="1" si="250">INDIRECT("'"&amp;$B61&amp;"'!$i$13")</f>
        <v>405620.11</v>
      </c>
      <c r="N61" s="94">
        <f ca="1">IFERROR(INDIRECT("'"&amp;$B61&amp;"'!$i$13")/INDIRECT("'"&amp;$B61&amp;"'!$i$14"),1)</f>
        <v>0.98535120672452337</v>
      </c>
      <c r="O61" s="2">
        <v>12</v>
      </c>
    </row>
    <row r="62" spans="1:15" x14ac:dyDescent="0.25">
      <c r="A62" s="2">
        <f t="shared" si="0"/>
        <v>5</v>
      </c>
      <c r="B62" t="s">
        <v>106</v>
      </c>
      <c r="C62" t="s">
        <v>192</v>
      </c>
      <c r="D62" s="15">
        <f t="shared" ref="D62" ca="1" si="251">INDIRECT("'"&amp;$B62&amp;"'!$f$18")</f>
        <v>647298.68000000005</v>
      </c>
      <c r="E62" s="15">
        <f t="shared" ref="E62" ca="1" si="252">INDIRECT("'"&amp;$B62&amp;"'!$g$18")</f>
        <v>645896.68000000005</v>
      </c>
      <c r="F62" s="15">
        <f t="shared" ref="F62" ca="1" si="253">INDIRECT("'"&amp;$B62&amp;"'!$h$18")</f>
        <v>645294.68000000005</v>
      </c>
      <c r="G62" s="15">
        <f t="shared" ref="G62" ca="1" si="254">INDIRECT("'"&amp;$B62&amp;"'!$i$18")</f>
        <v>644808.68000000005</v>
      </c>
      <c r="H62" s="15">
        <f t="shared" ref="H62" ca="1" si="255">INDIRECT("'"&amp;$B62&amp;"'!$j$18")</f>
        <v>643902.68000000005</v>
      </c>
      <c r="I62" s="15">
        <f t="shared" ref="I62" ca="1" si="256">INDIRECT("'"&amp;$B62&amp;"'!$f$17")</f>
        <v>624515.82999999996</v>
      </c>
      <c r="J62" s="15">
        <f t="shared" ref="J62" ca="1" si="257">INDIRECT("'"&amp;$B62&amp;"'!$g$17")</f>
        <v>641651.02</v>
      </c>
      <c r="K62" s="15">
        <f t="shared" ref="K62" ca="1" si="258">INDIRECT("'"&amp;$B62&amp;"'!$h$17")</f>
        <v>638458.17000000004</v>
      </c>
      <c r="L62" s="15">
        <f t="shared" ref="L62" ca="1" si="259">INDIRECT("'"&amp;$B62&amp;"'!$i$17")</f>
        <v>638063.59</v>
      </c>
      <c r="M62" s="15">
        <f t="shared" ref="M62" ca="1" si="260">INDIRECT("'"&amp;$B62&amp;"'!$j$17")</f>
        <v>637158.59</v>
      </c>
      <c r="N62" s="94">
        <f ca="1">IFERROR(INDIRECT("'"&amp;$B62&amp;"'!$j$17")/INDIRECT("'"&amp;$B62&amp;"'!$j$18"),1)</f>
        <v>0.98952622778336619</v>
      </c>
      <c r="O62" s="2">
        <v>12</v>
      </c>
    </row>
    <row r="63" spans="1:15" x14ac:dyDescent="0.25">
      <c r="A63" s="2">
        <f t="shared" si="0"/>
        <v>5</v>
      </c>
      <c r="B63" t="s">
        <v>106</v>
      </c>
      <c r="C63" t="s">
        <v>193</v>
      </c>
      <c r="D63" s="15">
        <f t="shared" ref="D63" ca="1" si="261">INDIRECT("'"&amp;$B63&amp;"'!$g$22")</f>
        <v>806508.9</v>
      </c>
      <c r="E63" s="15">
        <f t="shared" ref="E63" ca="1" si="262">INDIRECT("'"&amp;$B63&amp;"'!$h$22")</f>
        <v>803842.9</v>
      </c>
      <c r="F63" s="15">
        <f t="shared" ref="F63" ca="1" si="263">INDIRECT("'"&amp;$B63&amp;"'!$i$22")</f>
        <v>802084.9</v>
      </c>
      <c r="G63" s="15">
        <f t="shared" ref="G63" ca="1" si="264">INDIRECT("'"&amp;$B63&amp;"'!$j$22")</f>
        <v>801178.9</v>
      </c>
      <c r="H63" s="15">
        <f t="shared" ref="H63" ca="1" si="265">INDIRECT("'"&amp;$B63&amp;"'!$k$22")</f>
        <v>799470.9</v>
      </c>
      <c r="I63" s="15">
        <f t="shared" ref="I63" ca="1" si="266">INDIRECT("'"&amp;$B63&amp;"'!$g$21")</f>
        <v>745968.21</v>
      </c>
      <c r="J63" s="15">
        <f t="shared" ref="J63" ca="1" si="267">INDIRECT("'"&amp;$B63&amp;"'!$h$21")</f>
        <v>799699.94</v>
      </c>
      <c r="K63" s="15">
        <f t="shared" ref="K63" ca="1" si="268">INDIRECT("'"&amp;$B63&amp;"'!$i$21")</f>
        <v>797240.71</v>
      </c>
      <c r="L63" s="15">
        <f t="shared" ref="L63" ca="1" si="269">INDIRECT("'"&amp;$B63&amp;"'!$j$21")</f>
        <v>796365.59</v>
      </c>
      <c r="M63" s="15">
        <f t="shared" ref="M63" ca="1" si="270">INDIRECT("'"&amp;$B63&amp;"'!$k$21")</f>
        <v>794695.67</v>
      </c>
      <c r="N63" s="94">
        <f ca="1">IFERROR(INDIRECT("'"&amp;$B63&amp;"'!$k$21")/INDIRECT("'"&amp;$B63&amp;"'!$k$22"),1)</f>
        <v>0.99402701211513766</v>
      </c>
      <c r="O63" s="2">
        <v>12</v>
      </c>
    </row>
    <row r="64" spans="1:15" x14ac:dyDescent="0.25">
      <c r="A64" s="2">
        <f t="shared" si="0"/>
        <v>5</v>
      </c>
      <c r="B64" t="s">
        <v>106</v>
      </c>
      <c r="C64" t="s">
        <v>194</v>
      </c>
      <c r="D64" s="15">
        <f t="shared" ref="D64" ca="1" si="271">INDIRECT("'"&amp;$B64&amp;"'!$h$26")</f>
        <v>906447.35</v>
      </c>
      <c r="E64" s="15">
        <f t="shared" ref="E64" ca="1" si="272">INDIRECT("'"&amp;$B64&amp;"'!$i$26")</f>
        <v>905961.35</v>
      </c>
      <c r="F64" s="15">
        <f t="shared" ref="F64" ca="1" si="273">INDIRECT("'"&amp;$B64&amp;"'!$j$26")</f>
        <v>903253.35</v>
      </c>
      <c r="G64" s="15">
        <f t="shared" ref="G64" ca="1" si="274">INDIRECT("'"&amp;$B64&amp;"'!$k$26")</f>
        <v>900441.35</v>
      </c>
      <c r="H64" s="15">
        <f t="shared" ref="H64" ca="1" si="275">INDIRECT("'"&amp;$B64&amp;"'!$l$26")</f>
        <v>0</v>
      </c>
      <c r="I64" s="15">
        <f t="shared" ref="I64" ca="1" si="276">INDIRECT("'"&amp;$B64&amp;"'!$h$25")</f>
        <v>844035.4</v>
      </c>
      <c r="J64" s="15">
        <f t="shared" ref="J64" ca="1" si="277">INDIRECT("'"&amp;$B64&amp;"'!$i$25")</f>
        <v>888542.27</v>
      </c>
      <c r="K64" s="15">
        <f t="shared" ref="K64" ca="1" si="278">INDIRECT("'"&amp;$B64&amp;"'!$j$25")</f>
        <v>887317.8</v>
      </c>
      <c r="L64" s="15">
        <f t="shared" ref="L64" ca="1" si="279">INDIRECT("'"&amp;$B64&amp;"'!$k$25")</f>
        <v>884540.07</v>
      </c>
      <c r="M64" s="15">
        <f t="shared" ref="M64" ca="1" si="280">INDIRECT("'"&amp;$B64&amp;"'!$l$25")</f>
        <v>0</v>
      </c>
      <c r="N64" s="94">
        <f ca="1">IFERROR(INDIRECT("'"&amp;$B64&amp;"'!$l$25")/INDIRECT("'"&amp;$B64&amp;"'!$l$26"),1)</f>
        <v>1</v>
      </c>
      <c r="O64" s="2">
        <v>12</v>
      </c>
    </row>
    <row r="65" spans="1:15" x14ac:dyDescent="0.25">
      <c r="A65" s="2">
        <f t="shared" si="0"/>
        <v>5</v>
      </c>
      <c r="B65" t="s">
        <v>106</v>
      </c>
      <c r="C65" t="s">
        <v>227</v>
      </c>
      <c r="D65" s="15">
        <f t="shared" ref="D65" ca="1" si="281">INDIRECT("'"&amp;$B65&amp;"'!$i$30")</f>
        <v>650412.29</v>
      </c>
      <c r="E65" s="15">
        <f t="shared" ref="E65" ca="1" si="282">INDIRECT("'"&amp;$B65&amp;"'!$j$30")</f>
        <v>650412.29</v>
      </c>
      <c r="F65" s="15">
        <f t="shared" ref="F65" ca="1" si="283">INDIRECT("'"&amp;$B65&amp;"'!$k$30")</f>
        <v>648704.29</v>
      </c>
      <c r="G65" s="15">
        <f t="shared" ref="G65" ca="1" si="284">INDIRECT("'"&amp;$B65&amp;"'!$l$30")</f>
        <v>0</v>
      </c>
      <c r="H65" s="15"/>
      <c r="I65" s="15">
        <f t="shared" ref="I65" ca="1" si="285">INDIRECT("'"&amp;$B65&amp;"'!$i$29")</f>
        <v>607637.35</v>
      </c>
      <c r="J65" s="15">
        <f t="shared" ref="J65" ca="1" si="286">INDIRECT("'"&amp;$B65&amp;"'!$j$29")</f>
        <v>637728.87</v>
      </c>
      <c r="K65" s="15">
        <f t="shared" ref="K65" ca="1" si="287">INDIRECT("'"&amp;$B65&amp;"'!$k$29")</f>
        <v>636061.68000000005</v>
      </c>
      <c r="L65" s="15">
        <f t="shared" ref="L65" ca="1" si="288">INDIRECT("'"&amp;$B65&amp;"'!$l$29")</f>
        <v>0</v>
      </c>
      <c r="M65" s="15"/>
      <c r="N65" s="94">
        <v>1</v>
      </c>
      <c r="O65" s="2">
        <v>12</v>
      </c>
    </row>
    <row r="66" spans="1:15" x14ac:dyDescent="0.25">
      <c r="A66" s="2">
        <f t="shared" si="0"/>
        <v>5</v>
      </c>
      <c r="B66" t="s">
        <v>106</v>
      </c>
      <c r="C66" t="s">
        <v>228</v>
      </c>
      <c r="D66" s="15">
        <f t="shared" ref="D66" ca="1" si="289">INDIRECT("'"&amp;$B66&amp;"'!$j$34")</f>
        <v>699628.3</v>
      </c>
      <c r="E66" s="15">
        <f t="shared" ref="E66" ca="1" si="290">INDIRECT("'"&amp;$B66&amp;"'!$k$34")</f>
        <v>698712.3</v>
      </c>
      <c r="F66" s="15">
        <f t="shared" ref="F66" ca="1" si="291">INDIRECT("'"&amp;$B66&amp;"'!$l$34")</f>
        <v>0</v>
      </c>
      <c r="G66" s="15"/>
      <c r="H66" s="15"/>
      <c r="I66" s="15">
        <f t="shared" ref="I66" ca="1" si="292">INDIRECT("'"&amp;$B66&amp;"'!$j$33")</f>
        <v>644896.30000000005</v>
      </c>
      <c r="J66" s="15">
        <f t="shared" ref="J66" ca="1" si="293">INDIRECT("'"&amp;$B66&amp;"'!$k$33")</f>
        <v>691564.87</v>
      </c>
      <c r="K66" s="15">
        <f t="shared" ref="K66" ca="1" si="294">INDIRECT("'"&amp;$B66&amp;"'!$l$33")</f>
        <v>0</v>
      </c>
      <c r="L66" s="15"/>
      <c r="M66" s="15"/>
      <c r="N66" s="94">
        <v>1</v>
      </c>
      <c r="O66" s="2">
        <v>12</v>
      </c>
    </row>
    <row r="67" spans="1:15" x14ac:dyDescent="0.25">
      <c r="A67" s="2">
        <f t="shared" si="0"/>
        <v>5</v>
      </c>
      <c r="B67" t="s">
        <v>106</v>
      </c>
      <c r="C67" t="s">
        <v>229</v>
      </c>
      <c r="D67" s="15">
        <f t="shared" ref="D67" ca="1" si="295">INDIRECT("'"&amp;$B67&amp;"'!$k$38")</f>
        <v>762361.75</v>
      </c>
      <c r="E67" s="15">
        <f t="shared" ref="E67" ca="1" si="296">INDIRECT("'"&amp;$B67&amp;"'!$l$38")</f>
        <v>0</v>
      </c>
      <c r="F67" s="15"/>
      <c r="G67" s="15"/>
      <c r="H67" s="15"/>
      <c r="I67" s="15">
        <f t="shared" ref="I67" ca="1" si="297">INDIRECT("'"&amp;$B67&amp;"'!$k$37")</f>
        <v>721936.63</v>
      </c>
      <c r="J67" s="15">
        <f t="shared" ref="J67" ca="1" si="298">INDIRECT("'"&amp;$B67&amp;"'!$l$37")</f>
        <v>0</v>
      </c>
      <c r="K67" s="15"/>
      <c r="L67" s="15"/>
      <c r="M67" s="15"/>
      <c r="N67" s="94">
        <v>1</v>
      </c>
      <c r="O67" s="2">
        <v>12</v>
      </c>
    </row>
    <row r="68" spans="1:15" x14ac:dyDescent="0.25">
      <c r="A68" s="2">
        <f t="shared" si="0"/>
        <v>5</v>
      </c>
      <c r="B68" t="s">
        <v>106</v>
      </c>
      <c r="C68" t="s">
        <v>230</v>
      </c>
      <c r="D68" s="15">
        <f t="shared" ref="D68" ca="1" si="299">INDIRECT("'"&amp;$B68&amp;"'!$l$42")</f>
        <v>0</v>
      </c>
      <c r="E68" s="15"/>
      <c r="F68" s="15"/>
      <c r="G68" s="15"/>
      <c r="H68" s="15"/>
      <c r="I68" s="15">
        <f t="shared" ref="I68" ca="1" si="300">INDIRECT("'"&amp;$B68&amp;"'!$l$41")</f>
        <v>0</v>
      </c>
      <c r="J68" s="15"/>
      <c r="K68" s="15"/>
      <c r="L68" s="15"/>
      <c r="M68" s="15"/>
      <c r="N68" s="94">
        <v>1</v>
      </c>
      <c r="O68" s="2">
        <v>12</v>
      </c>
    </row>
    <row r="69" spans="1:15" x14ac:dyDescent="0.25">
      <c r="A69" s="2">
        <f t="shared" si="0"/>
        <v>5</v>
      </c>
      <c r="B69" t="s">
        <v>107</v>
      </c>
      <c r="C69" t="s">
        <v>191</v>
      </c>
      <c r="D69" s="15">
        <f t="shared" ref="D69" ca="1" si="301">INDIRECT("'"&amp;$B69&amp;"'!$e$14")</f>
        <v>566163.69999999995</v>
      </c>
      <c r="E69" s="15">
        <f t="shared" ref="E69" ca="1" si="302">INDIRECT("'"&amp;$B69&amp;"'!$f$14")</f>
        <v>566028.69999999995</v>
      </c>
      <c r="F69" s="15">
        <f t="shared" ref="F69" ca="1" si="303">INDIRECT("'"&amp;$B69&amp;"'!$g$14")</f>
        <v>565993.69999999995</v>
      </c>
      <c r="G69" s="15">
        <f t="shared" ref="G69" ca="1" si="304">INDIRECT("'"&amp;$B69&amp;"'!$h$14")</f>
        <v>565908.69999999995</v>
      </c>
      <c r="H69" s="15">
        <f t="shared" ref="H69" ca="1" si="305">INDIRECT("'"&amp;$B69&amp;"'!$i$14")</f>
        <v>565908.69999999995</v>
      </c>
      <c r="I69" s="15">
        <f t="shared" ref="I69" ca="1" si="306">INDIRECT("'"&amp;$B69&amp;"'!$e$13")</f>
        <v>526477.47</v>
      </c>
      <c r="J69" s="15">
        <f t="shared" ref="J69" ca="1" si="307">INDIRECT("'"&amp;$B69&amp;"'!$f$13")</f>
        <v>562982.47</v>
      </c>
      <c r="K69" s="15">
        <f t="shared" ref="K69" ca="1" si="308">INDIRECT("'"&amp;$B69&amp;"'!$g$13")</f>
        <v>563292.47</v>
      </c>
      <c r="L69" s="15">
        <f t="shared" ref="L69" ca="1" si="309">INDIRECT("'"&amp;$B69&amp;"'!$h$13")</f>
        <v>563337.47</v>
      </c>
      <c r="M69" s="15">
        <f t="shared" ref="M69" ca="1" si="310">INDIRECT("'"&amp;$B69&amp;"'!$i$13")</f>
        <v>563337.47</v>
      </c>
      <c r="N69" s="94">
        <f ca="1">IFERROR(INDIRECT("'"&amp;$B69&amp;"'!$i$13")/INDIRECT("'"&amp;$B69&amp;"'!$i$14"),1)</f>
        <v>0.99545645790566573</v>
      </c>
      <c r="O69" s="2">
        <v>12</v>
      </c>
    </row>
    <row r="70" spans="1:15" x14ac:dyDescent="0.25">
      <c r="A70" s="2">
        <f t="shared" si="0"/>
        <v>5</v>
      </c>
      <c r="B70" t="s">
        <v>107</v>
      </c>
      <c r="C70" t="s">
        <v>192</v>
      </c>
      <c r="D70" s="15">
        <f t="shared" ref="D70" ca="1" si="311">INDIRECT("'"&amp;$B70&amp;"'!$f$18")</f>
        <v>586425.61</v>
      </c>
      <c r="E70" s="15">
        <f t="shared" ref="E70" ca="1" si="312">INDIRECT("'"&amp;$B70&amp;"'!$g$18")</f>
        <v>586145.61</v>
      </c>
      <c r="F70" s="15">
        <f t="shared" ref="F70" ca="1" si="313">INDIRECT("'"&amp;$B70&amp;"'!$h$18")</f>
        <v>586145.61</v>
      </c>
      <c r="G70" s="15">
        <f t="shared" ref="G70" ca="1" si="314">INDIRECT("'"&amp;$B70&amp;"'!$i$18")</f>
        <v>586145.61</v>
      </c>
      <c r="H70" s="15">
        <f t="shared" ref="H70" ca="1" si="315">INDIRECT("'"&amp;$B70&amp;"'!$j$18")</f>
        <v>586145.61</v>
      </c>
      <c r="I70" s="15">
        <f t="shared" ref="I70" ca="1" si="316">INDIRECT("'"&amp;$B70&amp;"'!$f$17")</f>
        <v>562912.94999999995</v>
      </c>
      <c r="J70" s="15">
        <f t="shared" ref="J70" ca="1" si="317">INDIRECT("'"&amp;$B70&amp;"'!$g$17")</f>
        <v>583927.94999999995</v>
      </c>
      <c r="K70" s="15">
        <f t="shared" ref="K70" ca="1" si="318">INDIRECT("'"&amp;$B70&amp;"'!$h$17")</f>
        <v>584371.34</v>
      </c>
      <c r="L70" s="15">
        <f t="shared" ref="L70" ca="1" si="319">INDIRECT("'"&amp;$B70&amp;"'!$i$17")</f>
        <v>584371.34</v>
      </c>
      <c r="M70" s="15">
        <f t="shared" ref="M70" ca="1" si="320">INDIRECT("'"&amp;$B70&amp;"'!$j$17")</f>
        <v>584371.34</v>
      </c>
      <c r="N70" s="94">
        <f ca="1">IFERROR(INDIRECT("'"&amp;$B70&amp;"'!$j$17")/INDIRECT("'"&amp;$B70&amp;"'!$j$18"),1)</f>
        <v>0.99697298765062825</v>
      </c>
      <c r="O70" s="2">
        <v>12</v>
      </c>
    </row>
    <row r="71" spans="1:15" x14ac:dyDescent="0.25">
      <c r="A71" s="2">
        <f t="shared" si="0"/>
        <v>5</v>
      </c>
      <c r="B71" t="s">
        <v>107</v>
      </c>
      <c r="C71" t="s">
        <v>193</v>
      </c>
      <c r="D71" s="15">
        <f t="shared" ref="D71" ca="1" si="321">INDIRECT("'"&amp;$B71&amp;"'!$g$22")</f>
        <v>648117.86</v>
      </c>
      <c r="E71" s="15">
        <f t="shared" ref="E71" ca="1" si="322">INDIRECT("'"&amp;$B71&amp;"'!$h$22")</f>
        <v>647822.86</v>
      </c>
      <c r="F71" s="15">
        <f t="shared" ref="F71" ca="1" si="323">INDIRECT("'"&amp;$B71&amp;"'!$i$22")</f>
        <v>647822.86</v>
      </c>
      <c r="G71" s="15">
        <f t="shared" ref="G71" ca="1" si="324">INDIRECT("'"&amp;$B71&amp;"'!$j$22")</f>
        <v>647772.86</v>
      </c>
      <c r="H71" s="15">
        <f t="shared" ref="H71" ca="1" si="325">INDIRECT("'"&amp;$B71&amp;"'!$k$22")</f>
        <v>647772.86</v>
      </c>
      <c r="I71" s="15">
        <f t="shared" ref="I71" ca="1" si="326">INDIRECT("'"&amp;$B71&amp;"'!$g$21")</f>
        <v>628635.36</v>
      </c>
      <c r="J71" s="15">
        <f t="shared" ref="J71" ca="1" si="327">INDIRECT("'"&amp;$B71&amp;"'!$h$21")</f>
        <v>644896.86</v>
      </c>
      <c r="K71" s="15">
        <f t="shared" ref="K71" ca="1" si="328">INDIRECT("'"&amp;$B71&amp;"'!$i$21")</f>
        <v>644971.86</v>
      </c>
      <c r="L71" s="15">
        <f t="shared" ref="L71" ca="1" si="329">INDIRECT("'"&amp;$B71&amp;"'!$j$21")</f>
        <v>644971.86</v>
      </c>
      <c r="M71" s="15">
        <f t="shared" ref="M71" ca="1" si="330">INDIRECT("'"&amp;$B71&amp;"'!$k$21")</f>
        <v>644971.86</v>
      </c>
      <c r="N71" s="94">
        <f ca="1">IFERROR(INDIRECT("'"&amp;$B71&amp;"'!$k$21")/INDIRECT("'"&amp;$B71&amp;"'!$k$22"),1)</f>
        <v>0.99567595345072035</v>
      </c>
      <c r="O71" s="2">
        <v>12</v>
      </c>
    </row>
    <row r="72" spans="1:15" x14ac:dyDescent="0.25">
      <c r="A72" s="2">
        <f t="shared" si="0"/>
        <v>5</v>
      </c>
      <c r="B72" t="s">
        <v>107</v>
      </c>
      <c r="C72" t="s">
        <v>194</v>
      </c>
      <c r="D72" s="15">
        <f t="shared" ref="D72" ca="1" si="331">INDIRECT("'"&amp;$B72&amp;"'!$h$26")</f>
        <v>661714.23</v>
      </c>
      <c r="E72" s="15">
        <f t="shared" ref="E72" ca="1" si="332">INDIRECT("'"&amp;$B72&amp;"'!$i$26")</f>
        <v>661714.23</v>
      </c>
      <c r="F72" s="15">
        <f t="shared" ref="F72" ca="1" si="333">INDIRECT("'"&amp;$B72&amp;"'!$j$26")</f>
        <v>661619.23</v>
      </c>
      <c r="G72" s="15">
        <f t="shared" ref="G72" ca="1" si="334">INDIRECT("'"&amp;$B72&amp;"'!$k$26")</f>
        <v>661609.23</v>
      </c>
      <c r="H72" s="15">
        <f t="shared" ref="H72" ca="1" si="335">INDIRECT("'"&amp;$B72&amp;"'!$l$26")</f>
        <v>0</v>
      </c>
      <c r="I72" s="15">
        <f t="shared" ref="I72" ca="1" si="336">INDIRECT("'"&amp;$B72&amp;"'!$h$25")</f>
        <v>641304.53</v>
      </c>
      <c r="J72" s="15">
        <f t="shared" ref="J72" ca="1" si="337">INDIRECT("'"&amp;$B72&amp;"'!$i$25")</f>
        <v>656537.53</v>
      </c>
      <c r="K72" s="15">
        <f t="shared" ref="K72" ca="1" si="338">INDIRECT("'"&amp;$B72&amp;"'!$j$25")</f>
        <v>656992.53</v>
      </c>
      <c r="L72" s="15">
        <f t="shared" ref="L72" ca="1" si="339">INDIRECT("'"&amp;$B72&amp;"'!$k$25")</f>
        <v>657077.53</v>
      </c>
      <c r="M72" s="15">
        <f t="shared" ref="M72" ca="1" si="340">INDIRECT("'"&amp;$B72&amp;"'!$l$25")</f>
        <v>0</v>
      </c>
      <c r="N72" s="94">
        <f ca="1">IFERROR(INDIRECT("'"&amp;$B72&amp;"'!$l$25")/INDIRECT("'"&amp;$B72&amp;"'!$l$26"),1)</f>
        <v>1</v>
      </c>
      <c r="O72" s="2">
        <v>12</v>
      </c>
    </row>
    <row r="73" spans="1:15" x14ac:dyDescent="0.25">
      <c r="A73" s="2">
        <f t="shared" si="0"/>
        <v>5</v>
      </c>
      <c r="B73" t="s">
        <v>107</v>
      </c>
      <c r="C73" t="s">
        <v>227</v>
      </c>
      <c r="D73" s="15">
        <f t="shared" ref="D73" ca="1" si="341">INDIRECT("'"&amp;$B73&amp;"'!$i$30")</f>
        <v>638320.94999999995</v>
      </c>
      <c r="E73" s="15">
        <f t="shared" ref="E73" ca="1" si="342">INDIRECT("'"&amp;$B73&amp;"'!$j$30")</f>
        <v>638320.94999999995</v>
      </c>
      <c r="F73" s="15">
        <f t="shared" ref="F73" ca="1" si="343">INDIRECT("'"&amp;$B73&amp;"'!$k$30")</f>
        <v>638305.94999999995</v>
      </c>
      <c r="G73" s="15">
        <f t="shared" ref="G73" ca="1" si="344">INDIRECT("'"&amp;$B73&amp;"'!$l$30")</f>
        <v>0</v>
      </c>
      <c r="H73" s="15"/>
      <c r="I73" s="15">
        <f t="shared" ref="I73" ca="1" si="345">INDIRECT("'"&amp;$B73&amp;"'!$i$29")</f>
        <v>623186</v>
      </c>
      <c r="J73" s="15">
        <f t="shared" ref="J73" ca="1" si="346">INDIRECT("'"&amp;$B73&amp;"'!$j$29")</f>
        <v>635621</v>
      </c>
      <c r="K73" s="15">
        <f t="shared" ref="K73" ca="1" si="347">INDIRECT("'"&amp;$B73&amp;"'!$k$29")</f>
        <v>636186</v>
      </c>
      <c r="L73" s="15">
        <f t="shared" ref="L73" ca="1" si="348">INDIRECT("'"&amp;$B73&amp;"'!$l$29")</f>
        <v>0</v>
      </c>
      <c r="M73" s="15"/>
      <c r="N73" s="94">
        <v>1</v>
      </c>
      <c r="O73" s="2">
        <v>12</v>
      </c>
    </row>
    <row r="74" spans="1:15" x14ac:dyDescent="0.25">
      <c r="A74" s="2">
        <f t="shared" si="0"/>
        <v>5</v>
      </c>
      <c r="B74" t="s">
        <v>107</v>
      </c>
      <c r="C74" t="s">
        <v>228</v>
      </c>
      <c r="D74" s="15">
        <f t="shared" ref="D74" ca="1" si="349">INDIRECT("'"&amp;$B74&amp;"'!$j$34")</f>
        <v>695414.61</v>
      </c>
      <c r="E74" s="15">
        <f t="shared" ref="E74" ca="1" si="350">INDIRECT("'"&amp;$B74&amp;"'!$k$34")</f>
        <v>695384.61</v>
      </c>
      <c r="F74" s="15">
        <f t="shared" ref="F74" ca="1" si="351">INDIRECT("'"&amp;$B74&amp;"'!$l$34")</f>
        <v>0</v>
      </c>
      <c r="G74" s="15"/>
      <c r="H74" s="15"/>
      <c r="I74" s="15">
        <f t="shared" ref="I74" ca="1" si="352">INDIRECT("'"&amp;$B74&amp;"'!$j$33")</f>
        <v>651771.61</v>
      </c>
      <c r="J74" s="15">
        <f t="shared" ref="J74" ca="1" si="353">INDIRECT("'"&amp;$B74&amp;"'!$k$33")</f>
        <v>689846.61</v>
      </c>
      <c r="K74" s="15">
        <f t="shared" ref="K74" ca="1" si="354">INDIRECT("'"&amp;$B74&amp;"'!$l$33")</f>
        <v>0</v>
      </c>
      <c r="L74" s="15"/>
      <c r="M74" s="15"/>
      <c r="N74" s="94">
        <v>1</v>
      </c>
      <c r="O74" s="2">
        <v>12</v>
      </c>
    </row>
    <row r="75" spans="1:15" x14ac:dyDescent="0.25">
      <c r="A75" s="2">
        <f t="shared" si="0"/>
        <v>5</v>
      </c>
      <c r="B75" t="s">
        <v>107</v>
      </c>
      <c r="C75" t="s">
        <v>229</v>
      </c>
      <c r="D75" s="15">
        <f t="shared" ref="D75" ca="1" si="355">INDIRECT("'"&amp;$B75&amp;"'!$k$38")</f>
        <v>591450.5</v>
      </c>
      <c r="E75" s="15">
        <f t="shared" ref="E75" ca="1" si="356">INDIRECT("'"&amp;$B75&amp;"'!$l$38")</f>
        <v>0</v>
      </c>
      <c r="F75" s="15"/>
      <c r="G75" s="15"/>
      <c r="H75" s="15"/>
      <c r="I75" s="15">
        <f t="shared" ref="I75" ca="1" si="357">INDIRECT("'"&amp;$B75&amp;"'!$k$37")</f>
        <v>559617.5</v>
      </c>
      <c r="J75" s="15">
        <f t="shared" ref="J75" ca="1" si="358">INDIRECT("'"&amp;$B75&amp;"'!$l$37")</f>
        <v>0</v>
      </c>
      <c r="K75" s="15"/>
      <c r="L75" s="15"/>
      <c r="M75" s="15"/>
      <c r="N75" s="94">
        <v>1</v>
      </c>
      <c r="O75" s="2">
        <v>12</v>
      </c>
    </row>
    <row r="76" spans="1:15" x14ac:dyDescent="0.25">
      <c r="A76" s="2">
        <f t="shared" si="0"/>
        <v>5</v>
      </c>
      <c r="B76" t="s">
        <v>107</v>
      </c>
      <c r="C76" t="s">
        <v>230</v>
      </c>
      <c r="D76" s="15">
        <f t="shared" ref="D76" ca="1" si="359">INDIRECT("'"&amp;$B76&amp;"'!$l$42")</f>
        <v>0</v>
      </c>
      <c r="E76" s="15"/>
      <c r="F76" s="15"/>
      <c r="G76" s="15"/>
      <c r="H76" s="15"/>
      <c r="I76" s="15">
        <f t="shared" ref="I76" ca="1" si="360">INDIRECT("'"&amp;$B76&amp;"'!$l$41")</f>
        <v>0</v>
      </c>
      <c r="J76" s="15"/>
      <c r="K76" s="15"/>
      <c r="L76" s="15"/>
      <c r="M76" s="15"/>
      <c r="N76" s="94">
        <v>1</v>
      </c>
      <c r="O76" s="2">
        <v>12</v>
      </c>
    </row>
    <row r="77" spans="1:15" x14ac:dyDescent="0.25">
      <c r="A77" s="2">
        <f t="shared" si="0"/>
        <v>5</v>
      </c>
      <c r="B77" t="s">
        <v>110</v>
      </c>
      <c r="C77" t="s">
        <v>191</v>
      </c>
      <c r="D77" s="15">
        <f t="shared" ref="D77" ca="1" si="361">INDIRECT("'"&amp;$B77&amp;"'!$e$14")</f>
        <v>1484834.12</v>
      </c>
      <c r="E77" s="15">
        <f t="shared" ref="E77" ca="1" si="362">INDIRECT("'"&amp;$B77&amp;"'!$f$14")</f>
        <v>1409199.3</v>
      </c>
      <c r="F77" s="15">
        <f t="shared" ref="F77" ca="1" si="363">INDIRECT("'"&amp;$B77&amp;"'!$g$14")</f>
        <v>1403587.3</v>
      </c>
      <c r="G77" s="15">
        <f t="shared" ref="G77" ca="1" si="364">INDIRECT("'"&amp;$B77&amp;"'!$h$14")</f>
        <v>1402955.3</v>
      </c>
      <c r="H77" s="15">
        <f t="shared" ref="H77" ca="1" si="365">INDIRECT("'"&amp;$B77&amp;"'!$i$14")</f>
        <v>1402770.3</v>
      </c>
      <c r="I77" s="15">
        <f t="shared" ref="I77" ca="1" si="366">INDIRECT("'"&amp;$B77&amp;"'!$e$13")</f>
        <v>752557.11</v>
      </c>
      <c r="J77" s="15">
        <f t="shared" ref="J77" ca="1" si="367">INDIRECT("'"&amp;$B77&amp;"'!$f$13")</f>
        <v>1126100.83</v>
      </c>
      <c r="K77" s="15">
        <f t="shared" ref="K77" ca="1" si="368">INDIRECT("'"&amp;$B77&amp;"'!$g$13")</f>
        <v>1212088.6399999999</v>
      </c>
      <c r="L77" s="15">
        <f t="shared" ref="L77" ca="1" si="369">INDIRECT("'"&amp;$B77&amp;"'!$h$13")</f>
        <v>1236547.54</v>
      </c>
      <c r="M77" s="15">
        <f t="shared" ref="M77" ca="1" si="370">INDIRECT("'"&amp;$B77&amp;"'!$i$13")</f>
        <v>1249798.93</v>
      </c>
      <c r="N77" s="94">
        <f ca="1">IFERROR(INDIRECT("'"&amp;$B77&amp;"'!$i$13")/INDIRECT("'"&amp;$B77&amp;"'!$i$14"),1)</f>
        <v>0.89095052126495689</v>
      </c>
      <c r="O77" s="2">
        <v>12</v>
      </c>
    </row>
    <row r="78" spans="1:15" x14ac:dyDescent="0.25">
      <c r="A78" s="2">
        <f t="shared" si="0"/>
        <v>5</v>
      </c>
      <c r="B78" t="s">
        <v>110</v>
      </c>
      <c r="C78" t="s">
        <v>192</v>
      </c>
      <c r="D78" s="15">
        <f t="shared" ref="D78" ca="1" si="371">INDIRECT("'"&amp;$B78&amp;"'!$f$18")</f>
        <v>1496952.87</v>
      </c>
      <c r="E78" s="15">
        <f t="shared" ref="E78" ca="1" si="372">INDIRECT("'"&amp;$B78&amp;"'!$g$18")</f>
        <v>1426114.25</v>
      </c>
      <c r="F78" s="15">
        <f t="shared" ref="F78" ca="1" si="373">INDIRECT("'"&amp;$B78&amp;"'!$h$18")</f>
        <v>1421451.25</v>
      </c>
      <c r="G78" s="15">
        <f t="shared" ref="G78" ca="1" si="374">INDIRECT("'"&amp;$B78&amp;"'!$i$18")</f>
        <v>1420973.25</v>
      </c>
      <c r="H78" s="15">
        <f t="shared" ref="H78" ca="1" si="375">INDIRECT("'"&amp;$B78&amp;"'!$j$18")</f>
        <v>1420518.25</v>
      </c>
      <c r="I78" s="15">
        <f t="shared" ref="I78" ca="1" si="376">INDIRECT("'"&amp;$B78&amp;"'!$f$17")</f>
        <v>829674.5</v>
      </c>
      <c r="J78" s="15">
        <f t="shared" ref="J78" ca="1" si="377">INDIRECT("'"&amp;$B78&amp;"'!$g$17")</f>
        <v>1168713.8899999999</v>
      </c>
      <c r="K78" s="15">
        <f t="shared" ref="K78" ca="1" si="378">INDIRECT("'"&amp;$B78&amp;"'!$h$17")</f>
        <v>1236962.57</v>
      </c>
      <c r="L78" s="15">
        <f t="shared" ref="L78" ca="1" si="379">INDIRECT("'"&amp;$B78&amp;"'!$i$17")</f>
        <v>1255790.32</v>
      </c>
      <c r="M78" s="15">
        <f t="shared" ref="M78" ca="1" si="380">INDIRECT("'"&amp;$B78&amp;"'!$j$17")</f>
        <v>1277339.6399999999</v>
      </c>
      <c r="N78" s="94">
        <f ca="1">IFERROR(INDIRECT("'"&amp;$B78&amp;"'!$j$17")/INDIRECT("'"&amp;$B78&amp;"'!$j$18"),1)</f>
        <v>0.89920677893437828</v>
      </c>
      <c r="O78" s="2">
        <v>12</v>
      </c>
    </row>
    <row r="79" spans="1:15" x14ac:dyDescent="0.25">
      <c r="A79" s="2">
        <f t="shared" si="0"/>
        <v>5</v>
      </c>
      <c r="B79" t="s">
        <v>110</v>
      </c>
      <c r="C79" t="s">
        <v>193</v>
      </c>
      <c r="D79" s="15">
        <f t="shared" ref="D79" ca="1" si="381">INDIRECT("'"&amp;$B79&amp;"'!$g$22")</f>
        <v>1749833.45</v>
      </c>
      <c r="E79" s="15">
        <f t="shared" ref="E79" ca="1" si="382">INDIRECT("'"&amp;$B79&amp;"'!$h$22")</f>
        <v>1670949.4</v>
      </c>
      <c r="F79" s="15">
        <f t="shared" ref="F79" ca="1" si="383">INDIRECT("'"&amp;$B79&amp;"'!$i$22")</f>
        <v>1665018.4</v>
      </c>
      <c r="G79" s="15">
        <f t="shared" ref="G79" ca="1" si="384">INDIRECT("'"&amp;$B79&amp;"'!$j$22")</f>
        <v>1665562.4</v>
      </c>
      <c r="H79" s="15">
        <f t="shared" ref="H79" ca="1" si="385">INDIRECT("'"&amp;$B79&amp;"'!$k$22")</f>
        <v>1665562.4</v>
      </c>
      <c r="I79" s="15">
        <f t="shared" ref="I79" ca="1" si="386">INDIRECT("'"&amp;$B79&amp;"'!$g$21")</f>
        <v>911383.73</v>
      </c>
      <c r="J79" s="15">
        <f t="shared" ref="J79" ca="1" si="387">INDIRECT("'"&amp;$B79&amp;"'!$h$21")</f>
        <v>1330479.17</v>
      </c>
      <c r="K79" s="15">
        <f t="shared" ref="K79" ca="1" si="388">INDIRECT("'"&amp;$B79&amp;"'!$i$21")</f>
        <v>1415762.95</v>
      </c>
      <c r="L79" s="15">
        <f t="shared" ref="L79" ca="1" si="389">INDIRECT("'"&amp;$B79&amp;"'!$j$21")</f>
        <v>1462203.86</v>
      </c>
      <c r="M79" s="15">
        <f t="shared" ref="M79" ca="1" si="390">INDIRECT("'"&amp;$B79&amp;"'!$k$21")</f>
        <v>1481271.83</v>
      </c>
      <c r="N79" s="94">
        <f ca="1">IFERROR(INDIRECT("'"&amp;$B79&amp;"'!$k$21")/INDIRECT("'"&amp;$B79&amp;"'!$k$22"),1)</f>
        <v>0.88935234729122137</v>
      </c>
      <c r="O79" s="2">
        <v>12</v>
      </c>
    </row>
    <row r="80" spans="1:15" x14ac:dyDescent="0.25">
      <c r="A80" s="2">
        <f t="shared" si="0"/>
        <v>5</v>
      </c>
      <c r="B80" t="s">
        <v>110</v>
      </c>
      <c r="C80" t="s">
        <v>194</v>
      </c>
      <c r="D80" s="15">
        <f t="shared" ref="D80" ca="1" si="391">INDIRECT("'"&amp;$B80&amp;"'!$h$26")</f>
        <v>1606456.85</v>
      </c>
      <c r="E80" s="15">
        <f t="shared" ref="E80" ca="1" si="392">INDIRECT("'"&amp;$B80&amp;"'!$i$26")</f>
        <v>1532823</v>
      </c>
      <c r="F80" s="15">
        <f t="shared" ref="F80" ca="1" si="393">INDIRECT("'"&amp;$B80&amp;"'!$j$26")</f>
        <v>1525808</v>
      </c>
      <c r="G80" s="15">
        <f t="shared" ref="G80" ca="1" si="394">INDIRECT("'"&amp;$B80&amp;"'!$k$26")</f>
        <v>1522333</v>
      </c>
      <c r="H80" s="15">
        <f t="shared" ref="H80" ca="1" si="395">INDIRECT("'"&amp;$B80&amp;"'!$l$26")</f>
        <v>0</v>
      </c>
      <c r="I80" s="15">
        <f t="shared" ref="I80" ca="1" si="396">INDIRECT("'"&amp;$B80&amp;"'!$h$25")</f>
        <v>831184.56</v>
      </c>
      <c r="J80" s="15">
        <f t="shared" ref="J80" ca="1" si="397">INDIRECT("'"&amp;$B80&amp;"'!$i$25")</f>
        <v>840502.56</v>
      </c>
      <c r="K80" s="15">
        <f t="shared" ref="K80" ca="1" si="398">INDIRECT("'"&amp;$B80&amp;"'!$j$25")</f>
        <v>1295094.51</v>
      </c>
      <c r="L80" s="15">
        <f t="shared" ref="L80" ca="1" si="399">INDIRECT("'"&amp;$B80&amp;"'!$k$25")</f>
        <v>1326099.3700000001</v>
      </c>
      <c r="M80" s="15">
        <f t="shared" ref="M80" ca="1" si="400">INDIRECT("'"&amp;$B80&amp;"'!$l$25")</f>
        <v>0</v>
      </c>
      <c r="N80" s="94">
        <f ca="1">IFERROR(INDIRECT("'"&amp;$B80&amp;"'!$l$25")/INDIRECT("'"&amp;$B80&amp;"'!$l$26"),1)</f>
        <v>1</v>
      </c>
      <c r="O80" s="2">
        <v>12</v>
      </c>
    </row>
    <row r="81" spans="1:15" x14ac:dyDescent="0.25">
      <c r="A81" s="2">
        <f t="shared" si="0"/>
        <v>5</v>
      </c>
      <c r="B81" t="s">
        <v>110</v>
      </c>
      <c r="C81" t="s">
        <v>227</v>
      </c>
      <c r="D81" s="15">
        <f t="shared" ref="D81" ca="1" si="401">INDIRECT("'"&amp;$B81&amp;"'!$i$30")</f>
        <v>1334636.7</v>
      </c>
      <c r="E81" s="15">
        <f t="shared" ref="E81" ca="1" si="402">INDIRECT("'"&amp;$B81&amp;"'!$j$30")</f>
        <v>1273091.2</v>
      </c>
      <c r="F81" s="15">
        <f t="shared" ref="F81" ca="1" si="403">INDIRECT("'"&amp;$B81&amp;"'!$k$30")</f>
        <v>1268698.2</v>
      </c>
      <c r="G81" s="15">
        <f t="shared" ref="G81" ca="1" si="404">INDIRECT("'"&amp;$B81&amp;"'!$l$30")</f>
        <v>0</v>
      </c>
      <c r="H81" s="15"/>
      <c r="I81" s="15">
        <f t="shared" ref="I81" ca="1" si="405">INDIRECT("'"&amp;$B81&amp;"'!$i$29")</f>
        <v>674256.37</v>
      </c>
      <c r="J81" s="15">
        <f t="shared" ref="J81" ca="1" si="406">INDIRECT("'"&amp;$B81&amp;"'!$j$29")</f>
        <v>1021917.7</v>
      </c>
      <c r="K81" s="15">
        <f t="shared" ref="K81" ca="1" si="407">INDIRECT("'"&amp;$B81&amp;"'!$k$29")</f>
        <v>1088118.19</v>
      </c>
      <c r="L81" s="15">
        <f t="shared" ref="L81" ca="1" si="408">INDIRECT("'"&amp;$B81&amp;"'!$l$29")</f>
        <v>0</v>
      </c>
      <c r="M81" s="15"/>
      <c r="N81" s="94">
        <v>1</v>
      </c>
      <c r="O81" s="2">
        <v>12</v>
      </c>
    </row>
    <row r="82" spans="1:15" x14ac:dyDescent="0.25">
      <c r="A82" s="2">
        <f t="shared" si="0"/>
        <v>5</v>
      </c>
      <c r="B82" t="s">
        <v>110</v>
      </c>
      <c r="C82" t="s">
        <v>228</v>
      </c>
      <c r="D82" s="15">
        <f t="shared" ref="D82" ca="1" si="409">INDIRECT("'"&amp;$B82&amp;"'!$j$34")</f>
        <v>1615893.3</v>
      </c>
      <c r="E82" s="15">
        <f t="shared" ref="E82" ca="1" si="410">INDIRECT("'"&amp;$B82&amp;"'!$k$34")</f>
        <v>1539153.25</v>
      </c>
      <c r="F82" s="15">
        <f t="shared" ref="F82" ca="1" si="411">INDIRECT("'"&amp;$B82&amp;"'!$l$34")</f>
        <v>0</v>
      </c>
      <c r="G82" s="15"/>
      <c r="H82" s="15"/>
      <c r="I82" s="15">
        <f t="shared" ref="I82" ca="1" si="412">INDIRECT("'"&amp;$B82&amp;"'!$j$33")</f>
        <v>853729.5</v>
      </c>
      <c r="J82" s="15">
        <f t="shared" ref="J82" ca="1" si="413">INDIRECT("'"&amp;$B82&amp;"'!$k$33")</f>
        <v>1265723.8999999999</v>
      </c>
      <c r="K82" s="15">
        <f t="shared" ref="K82" ca="1" si="414">INDIRECT("'"&amp;$B82&amp;"'!$l$33")</f>
        <v>0</v>
      </c>
      <c r="L82" s="15"/>
      <c r="M82" s="15"/>
      <c r="N82" s="94">
        <v>1</v>
      </c>
      <c r="O82" s="2">
        <v>12</v>
      </c>
    </row>
    <row r="83" spans="1:15" x14ac:dyDescent="0.25">
      <c r="A83" s="2">
        <f t="shared" si="0"/>
        <v>5</v>
      </c>
      <c r="B83" t="s">
        <v>110</v>
      </c>
      <c r="C83" t="s">
        <v>229</v>
      </c>
      <c r="D83" s="15">
        <f t="shared" ref="D83" ca="1" si="415">INDIRECT("'"&amp;$B83&amp;"'!$k$38")</f>
        <v>1603833.15</v>
      </c>
      <c r="E83" s="15">
        <f t="shared" ref="E83" ca="1" si="416">INDIRECT("'"&amp;$B83&amp;"'!$l$38")</f>
        <v>0</v>
      </c>
      <c r="F83" s="15"/>
      <c r="G83" s="15"/>
      <c r="H83" s="15"/>
      <c r="I83" s="15">
        <f t="shared" ref="I83" ca="1" si="417">INDIRECT("'"&amp;$B83&amp;"'!$k$37")</f>
        <v>807387.95</v>
      </c>
      <c r="J83" s="15">
        <f t="shared" ref="J83" ca="1" si="418">INDIRECT("'"&amp;$B83&amp;"'!$l$37")</f>
        <v>0</v>
      </c>
      <c r="K83" s="15"/>
      <c r="L83" s="15"/>
      <c r="M83" s="15"/>
      <c r="N83" s="94">
        <v>1</v>
      </c>
      <c r="O83" s="2">
        <v>12</v>
      </c>
    </row>
    <row r="84" spans="1:15" x14ac:dyDescent="0.25">
      <c r="A84" s="2">
        <f t="shared" si="0"/>
        <v>5</v>
      </c>
      <c r="B84" t="s">
        <v>110</v>
      </c>
      <c r="C84" t="s">
        <v>230</v>
      </c>
      <c r="D84" s="15">
        <f t="shared" ref="D84" ca="1" si="419">INDIRECT("'"&amp;$B84&amp;"'!$l$42")</f>
        <v>0</v>
      </c>
      <c r="E84" s="15"/>
      <c r="F84" s="15"/>
      <c r="G84" s="15"/>
      <c r="H84" s="15"/>
      <c r="I84" s="15">
        <f t="shared" ref="I84" ca="1" si="420">INDIRECT("'"&amp;$B84&amp;"'!$l$41")</f>
        <v>0</v>
      </c>
      <c r="J84" s="15"/>
      <c r="K84" s="15"/>
      <c r="L84" s="15"/>
      <c r="M84" s="15"/>
      <c r="N84" s="94">
        <v>1</v>
      </c>
      <c r="O84" s="2">
        <v>12</v>
      </c>
    </row>
    <row r="85" spans="1:15" x14ac:dyDescent="0.25">
      <c r="A85" s="2">
        <f t="shared" si="0"/>
        <v>5</v>
      </c>
      <c r="B85" t="s">
        <v>108</v>
      </c>
      <c r="C85" t="s">
        <v>191</v>
      </c>
      <c r="D85" s="15">
        <f t="shared" ref="D85" ca="1" si="421">INDIRECT("'"&amp;$B85&amp;"'!$e$14")</f>
        <v>234067</v>
      </c>
      <c r="E85" s="15">
        <f t="shared" ref="E85" ca="1" si="422">INDIRECT("'"&amp;$B85&amp;"'!$f$14")</f>
        <v>234067</v>
      </c>
      <c r="F85" s="15">
        <f t="shared" ref="F85" ca="1" si="423">INDIRECT("'"&amp;$B85&amp;"'!$g$14")</f>
        <v>234067</v>
      </c>
      <c r="G85" s="15">
        <f t="shared" ref="G85" ca="1" si="424">INDIRECT("'"&amp;$B85&amp;"'!$h$14")</f>
        <v>233642</v>
      </c>
      <c r="H85" s="15">
        <f t="shared" ref="H85" ca="1" si="425">INDIRECT("'"&amp;$B85&amp;"'!$i$14")</f>
        <v>233642</v>
      </c>
      <c r="I85" s="15">
        <f t="shared" ref="I85" ca="1" si="426">INDIRECT("'"&amp;$B85&amp;"'!$e$13")</f>
        <v>226397.8</v>
      </c>
      <c r="J85" s="15">
        <f t="shared" ref="J85" ca="1" si="427">INDIRECT("'"&amp;$B85&amp;"'!$f$13")</f>
        <v>230939.8</v>
      </c>
      <c r="K85" s="15">
        <f t="shared" ref="K85" ca="1" si="428">INDIRECT("'"&amp;$B85&amp;"'!$g$13")</f>
        <v>231398.8</v>
      </c>
      <c r="L85" s="15">
        <f t="shared" ref="L85" ca="1" si="429">INDIRECT("'"&amp;$B85&amp;"'!$h$13")</f>
        <v>231653.8</v>
      </c>
      <c r="M85" s="15">
        <f t="shared" ref="M85" ca="1" si="430">INDIRECT("'"&amp;$B85&amp;"'!$i$13")</f>
        <v>232053.8</v>
      </c>
      <c r="N85" s="94">
        <f ca="1">IFERROR(INDIRECT("'"&amp;$B85&amp;"'!$i$13")/INDIRECT("'"&amp;$B85&amp;"'!$i$14"),1)</f>
        <v>0.99320242079763055</v>
      </c>
      <c r="O85" s="2">
        <v>12</v>
      </c>
    </row>
    <row r="86" spans="1:15" x14ac:dyDescent="0.25">
      <c r="A86" s="2">
        <f t="shared" si="0"/>
        <v>5</v>
      </c>
      <c r="B86" t="s">
        <v>108</v>
      </c>
      <c r="C86" t="s">
        <v>192</v>
      </c>
      <c r="D86" s="15">
        <f t="shared" ref="D86" ca="1" si="431">INDIRECT("'"&amp;$B86&amp;"'!$f$18")</f>
        <v>247623.2</v>
      </c>
      <c r="E86" s="15">
        <f t="shared" ref="E86" ca="1" si="432">INDIRECT("'"&amp;$B86&amp;"'!$g$18")</f>
        <v>247623.2</v>
      </c>
      <c r="F86" s="15">
        <f t="shared" ref="F86" ca="1" si="433">INDIRECT("'"&amp;$B86&amp;"'!$h$18")</f>
        <v>247623.2</v>
      </c>
      <c r="G86" s="15">
        <f t="shared" ref="G86" ca="1" si="434">INDIRECT("'"&amp;$B86&amp;"'!$i$18")</f>
        <v>247623.2</v>
      </c>
      <c r="H86" s="15">
        <f t="shared" ref="H86" ca="1" si="435">INDIRECT("'"&amp;$B86&amp;"'!$j$18")</f>
        <v>247623.2</v>
      </c>
      <c r="I86" s="15">
        <f t="shared" ref="I86" ca="1" si="436">INDIRECT("'"&amp;$B86&amp;"'!$f$17")</f>
        <v>240983.41</v>
      </c>
      <c r="J86" s="15">
        <f t="shared" ref="J86" ca="1" si="437">INDIRECT("'"&amp;$B86&amp;"'!$g$17")</f>
        <v>245163.91</v>
      </c>
      <c r="K86" s="15">
        <f t="shared" ref="K86" ca="1" si="438">INDIRECT("'"&amp;$B86&amp;"'!$h$17")</f>
        <v>245254.01</v>
      </c>
      <c r="L86" s="15">
        <f t="shared" ref="L86" ca="1" si="439">INDIRECT("'"&amp;$B86&amp;"'!$i$17")</f>
        <v>245254.01</v>
      </c>
      <c r="M86" s="15">
        <f t="shared" ref="M86" ca="1" si="440">INDIRECT("'"&amp;$B86&amp;"'!$j$17")</f>
        <v>245270.8</v>
      </c>
      <c r="N86" s="94">
        <f ca="1">IFERROR(INDIRECT("'"&amp;$B86&amp;"'!$j$17")/INDIRECT("'"&amp;$B86&amp;"'!$j$18"),1)</f>
        <v>0.99050008238323384</v>
      </c>
      <c r="O86" s="2">
        <v>12</v>
      </c>
    </row>
    <row r="87" spans="1:15" x14ac:dyDescent="0.25">
      <c r="A87" s="2">
        <f t="shared" ref="A87:A100" si="441">A$21</f>
        <v>5</v>
      </c>
      <c r="B87" t="s">
        <v>108</v>
      </c>
      <c r="C87" t="s">
        <v>193</v>
      </c>
      <c r="D87" s="15">
        <f t="shared" ref="D87" ca="1" si="442">INDIRECT("'"&amp;$B87&amp;"'!$g$22")</f>
        <v>250140.79999999999</v>
      </c>
      <c r="E87" s="15">
        <f t="shared" ref="E87" ca="1" si="443">INDIRECT("'"&amp;$B87&amp;"'!$h$22")</f>
        <v>250140.79999999999</v>
      </c>
      <c r="F87" s="15">
        <f t="shared" ref="F87" ca="1" si="444">INDIRECT("'"&amp;$B87&amp;"'!$i$22")</f>
        <v>249795.8</v>
      </c>
      <c r="G87" s="15">
        <f t="shared" ref="G87" ca="1" si="445">INDIRECT("'"&amp;$B87&amp;"'!$j$22")</f>
        <v>249795.8</v>
      </c>
      <c r="H87" s="15">
        <f t="shared" ref="H87" ca="1" si="446">INDIRECT("'"&amp;$B87&amp;"'!$k$22")</f>
        <v>249795.8</v>
      </c>
      <c r="I87" s="15">
        <f t="shared" ref="I87" ca="1" si="447">INDIRECT("'"&amp;$B87&amp;"'!$g$21")</f>
        <v>237154.9</v>
      </c>
      <c r="J87" s="15">
        <f t="shared" ref="J87" ca="1" si="448">INDIRECT("'"&amp;$B87&amp;"'!$h$21")</f>
        <v>247562.9</v>
      </c>
      <c r="K87" s="15">
        <f t="shared" ref="K87" ca="1" si="449">INDIRECT("'"&amp;$B87&amp;"'!$i$21")</f>
        <v>247375.9</v>
      </c>
      <c r="L87" s="15">
        <f t="shared" ref="L87" ca="1" si="450">INDIRECT("'"&amp;$B87&amp;"'!$j$21")</f>
        <v>247373.29</v>
      </c>
      <c r="M87" s="15">
        <f t="shared" ref="M87" ca="1" si="451">INDIRECT("'"&amp;$B87&amp;"'!$k$21")</f>
        <v>247479.01</v>
      </c>
      <c r="N87" s="94">
        <f ca="1">IFERROR(INDIRECT("'"&amp;$B87&amp;"'!$k$21")/INDIRECT("'"&amp;$B87&amp;"'!$k$22"),1)</f>
        <v>0.99072526439595865</v>
      </c>
      <c r="O87" s="2">
        <v>12</v>
      </c>
    </row>
    <row r="88" spans="1:15" x14ac:dyDescent="0.25">
      <c r="A88" s="2">
        <f t="shared" si="441"/>
        <v>5</v>
      </c>
      <c r="B88" t="s">
        <v>108</v>
      </c>
      <c r="C88" t="s">
        <v>194</v>
      </c>
      <c r="D88" s="15">
        <f t="shared" ref="D88" ca="1" si="452">INDIRECT("'"&amp;$B88&amp;"'!$h$26")</f>
        <v>238328.15</v>
      </c>
      <c r="E88" s="15">
        <f t="shared" ref="E88" ca="1" si="453">INDIRECT("'"&amp;$B88&amp;"'!$i$26")</f>
        <v>238328.15</v>
      </c>
      <c r="F88" s="15">
        <f t="shared" ref="F88" ca="1" si="454">INDIRECT("'"&amp;$B88&amp;"'!$j$26")</f>
        <v>238328.15</v>
      </c>
      <c r="G88" s="15">
        <f t="shared" ref="G88" ca="1" si="455">INDIRECT("'"&amp;$B88&amp;"'!$k$26")</f>
        <v>238328.15</v>
      </c>
      <c r="H88" s="15">
        <f t="shared" ref="H88" ca="1" si="456">INDIRECT("'"&amp;$B88&amp;"'!$l$26")</f>
        <v>0</v>
      </c>
      <c r="I88" s="15">
        <f t="shared" ref="I88" ca="1" si="457">INDIRECT("'"&amp;$B88&amp;"'!$h$25")</f>
        <v>227827.07</v>
      </c>
      <c r="J88" s="15">
        <f t="shared" ref="J88" ca="1" si="458">INDIRECT("'"&amp;$B88&amp;"'!$i$25")</f>
        <v>236689.61</v>
      </c>
      <c r="K88" s="15">
        <f t="shared" ref="K88" ca="1" si="459">INDIRECT("'"&amp;$B88&amp;"'!$j$25")</f>
        <v>237361.61</v>
      </c>
      <c r="L88" s="15">
        <f t="shared" ref="L88" ca="1" si="460">INDIRECT("'"&amp;$B88&amp;"'!$k$25")</f>
        <v>237410.3</v>
      </c>
      <c r="M88" s="15">
        <f t="shared" ref="M88" ca="1" si="461">INDIRECT("'"&amp;$B88&amp;"'!$l$25")</f>
        <v>0</v>
      </c>
      <c r="N88" s="94">
        <f ca="1">IFERROR(INDIRECT("'"&amp;$B88&amp;"'!$l$25")/INDIRECT("'"&amp;$B88&amp;"'!$l$26"),1)</f>
        <v>1</v>
      </c>
      <c r="O88" s="2">
        <v>12</v>
      </c>
    </row>
    <row r="89" spans="1:15" x14ac:dyDescent="0.25">
      <c r="A89" s="2">
        <f t="shared" si="441"/>
        <v>5</v>
      </c>
      <c r="B89" t="s">
        <v>108</v>
      </c>
      <c r="C89" t="s">
        <v>227</v>
      </c>
      <c r="D89" s="15">
        <f t="shared" ref="D89" ca="1" si="462">INDIRECT("'"&amp;$B89&amp;"'!$i$30")</f>
        <v>225901.35</v>
      </c>
      <c r="E89" s="15">
        <f t="shared" ref="E89" ca="1" si="463">INDIRECT("'"&amp;$B89&amp;"'!$j$30")</f>
        <v>225901.35</v>
      </c>
      <c r="F89" s="15">
        <f t="shared" ref="F89" ca="1" si="464">INDIRECT("'"&amp;$B89&amp;"'!$k$30")</f>
        <v>225901.35</v>
      </c>
      <c r="G89" s="15">
        <f t="shared" ref="G89" ca="1" si="465">INDIRECT("'"&amp;$B89&amp;"'!$l$30")</f>
        <v>0</v>
      </c>
      <c r="H89" s="15"/>
      <c r="I89" s="15">
        <f t="shared" ref="I89" ca="1" si="466">INDIRECT("'"&amp;$B89&amp;"'!$i$29")</f>
        <v>221339.76</v>
      </c>
      <c r="J89" s="15">
        <f t="shared" ref="J89" ca="1" si="467">INDIRECT("'"&amp;$B89&amp;"'!$j$29")</f>
        <v>224713.57</v>
      </c>
      <c r="K89" s="15">
        <f t="shared" ref="K89" ca="1" si="468">INDIRECT("'"&amp;$B89&amp;"'!$k$29")</f>
        <v>224839.57</v>
      </c>
      <c r="L89" s="15">
        <f t="shared" ref="L89" ca="1" si="469">INDIRECT("'"&amp;$B89&amp;"'!$l$29")</f>
        <v>0</v>
      </c>
      <c r="M89" s="15"/>
      <c r="N89" s="94">
        <v>1</v>
      </c>
      <c r="O89" s="2">
        <v>12</v>
      </c>
    </row>
    <row r="90" spans="1:15" x14ac:dyDescent="0.25">
      <c r="A90" s="2">
        <f t="shared" si="441"/>
        <v>5</v>
      </c>
      <c r="B90" t="s">
        <v>108</v>
      </c>
      <c r="C90" t="s">
        <v>228</v>
      </c>
      <c r="D90" s="15">
        <f t="shared" ref="D90" ca="1" si="470">INDIRECT("'"&amp;$B90&amp;"'!$j$34")</f>
        <v>247936.65</v>
      </c>
      <c r="E90" s="15">
        <f t="shared" ref="E90" ca="1" si="471">INDIRECT("'"&amp;$B90&amp;"'!$k$34")</f>
        <v>247936.65</v>
      </c>
      <c r="F90" s="15">
        <f t="shared" ref="F90" ca="1" si="472">INDIRECT("'"&amp;$B90&amp;"'!$l$34")</f>
        <v>0</v>
      </c>
      <c r="G90" s="15"/>
      <c r="H90" s="15"/>
      <c r="I90" s="15">
        <f t="shared" ref="I90" ca="1" si="473">INDIRECT("'"&amp;$B90&amp;"'!$j$33")</f>
        <v>221819.4</v>
      </c>
      <c r="J90" s="15">
        <f t="shared" ref="J90" ca="1" si="474">INDIRECT("'"&amp;$B90&amp;"'!$k$33")</f>
        <v>246798.09</v>
      </c>
      <c r="K90" s="15">
        <f t="shared" ref="K90" ca="1" si="475">INDIRECT("'"&amp;$B90&amp;"'!$l$33")</f>
        <v>0</v>
      </c>
      <c r="L90" s="15"/>
      <c r="M90" s="15"/>
      <c r="N90" s="94">
        <v>1</v>
      </c>
      <c r="O90" s="2">
        <v>12</v>
      </c>
    </row>
    <row r="91" spans="1:15" x14ac:dyDescent="0.25">
      <c r="A91" s="2">
        <f t="shared" si="441"/>
        <v>5</v>
      </c>
      <c r="B91" t="s">
        <v>108</v>
      </c>
      <c r="C91" t="s">
        <v>229</v>
      </c>
      <c r="D91" s="15">
        <f t="shared" ref="D91" ca="1" si="476">INDIRECT("'"&amp;$B91&amp;"'!$k$38")</f>
        <v>247347.25</v>
      </c>
      <c r="E91" s="15">
        <f t="shared" ref="E91" ca="1" si="477">INDIRECT("'"&amp;$B91&amp;"'!$l$38")</f>
        <v>0</v>
      </c>
      <c r="F91" s="15"/>
      <c r="G91" s="15"/>
      <c r="H91" s="15"/>
      <c r="I91" s="15">
        <f t="shared" ref="I91" ca="1" si="478">INDIRECT("'"&amp;$B91&amp;"'!$k$37")</f>
        <v>228410.26</v>
      </c>
      <c r="J91" s="15">
        <f t="shared" ref="J91" ca="1" si="479">INDIRECT("'"&amp;$B91&amp;"'!$l$37")</f>
        <v>0</v>
      </c>
      <c r="K91" s="15"/>
      <c r="L91" s="15"/>
      <c r="M91" s="15"/>
      <c r="N91" s="94">
        <v>1</v>
      </c>
      <c r="O91" s="2">
        <v>12</v>
      </c>
    </row>
    <row r="92" spans="1:15" x14ac:dyDescent="0.25">
      <c r="A92" s="2">
        <f t="shared" si="441"/>
        <v>5</v>
      </c>
      <c r="B92" t="s">
        <v>108</v>
      </c>
      <c r="C92" t="s">
        <v>230</v>
      </c>
      <c r="D92" s="15">
        <f t="shared" ref="D92" ca="1" si="480">INDIRECT("'"&amp;$B92&amp;"'!$l$42")</f>
        <v>0</v>
      </c>
      <c r="E92" s="15"/>
      <c r="F92" s="15"/>
      <c r="G92" s="15"/>
      <c r="H92" s="15"/>
      <c r="I92" s="15">
        <f t="shared" ref="I92" ca="1" si="481">INDIRECT("'"&amp;$B92&amp;"'!$l$41")</f>
        <v>0</v>
      </c>
      <c r="J92" s="15"/>
      <c r="K92" s="15"/>
      <c r="L92" s="15"/>
      <c r="M92" s="15"/>
      <c r="N92" s="94">
        <v>1</v>
      </c>
      <c r="O92" s="2">
        <v>12</v>
      </c>
    </row>
    <row r="93" spans="1:15" x14ac:dyDescent="0.25">
      <c r="A93" s="2">
        <f t="shared" si="441"/>
        <v>5</v>
      </c>
      <c r="B93" t="s">
        <v>70</v>
      </c>
      <c r="C93" t="s">
        <v>191</v>
      </c>
      <c r="D93" s="15">
        <f t="shared" ref="D93" ca="1" si="482">INDIRECT("'"&amp;$B93&amp;"'!$e$14")</f>
        <v>329764.81</v>
      </c>
      <c r="E93" s="15">
        <f t="shared" ref="E93" ca="1" si="483">INDIRECT("'"&amp;$B93&amp;"'!$f$14")</f>
        <v>329295.81</v>
      </c>
      <c r="F93" s="15">
        <f t="shared" ref="F93" ca="1" si="484">INDIRECT("'"&amp;$B93&amp;"'!$g$14")</f>
        <v>329295.81</v>
      </c>
      <c r="G93" s="15">
        <f t="shared" ref="G93" ca="1" si="485">INDIRECT("'"&amp;$B93&amp;"'!$h$14")</f>
        <v>328969.81</v>
      </c>
      <c r="H93" s="15">
        <f t="shared" ref="H93" ca="1" si="486">INDIRECT("'"&amp;$B93&amp;"'!$i$14")</f>
        <v>328969.81</v>
      </c>
      <c r="I93" s="15">
        <f t="shared" ref="I93" ca="1" si="487">INDIRECT("'"&amp;$B93&amp;"'!$e$13")</f>
        <v>271847.11</v>
      </c>
      <c r="J93" s="15">
        <f t="shared" ref="J93" ca="1" si="488">INDIRECT("'"&amp;$B93&amp;"'!$f$13")</f>
        <v>294076.84000000003</v>
      </c>
      <c r="K93" s="15">
        <f t="shared" ref="K93" ca="1" si="489">INDIRECT("'"&amp;$B93&amp;"'!$g$13")</f>
        <v>298686.57</v>
      </c>
      <c r="L93" s="15">
        <f t="shared" ref="L93" ca="1" si="490">INDIRECT("'"&amp;$B93&amp;"'!$h$13")</f>
        <v>299814.82</v>
      </c>
      <c r="M93" s="15">
        <f t="shared" ref="M93" ca="1" si="491">INDIRECT("'"&amp;$B93&amp;"'!$i$13")</f>
        <v>300971.21999999997</v>
      </c>
      <c r="N93" s="94">
        <f ca="1">IFERROR(INDIRECT("'"&amp;$B93&amp;"'!$i$13")/INDIRECT("'"&amp;$B93&amp;"'!$i$14"),1)</f>
        <v>0.91489009280213274</v>
      </c>
      <c r="O93" s="2">
        <v>12</v>
      </c>
    </row>
    <row r="94" spans="1:15" x14ac:dyDescent="0.25">
      <c r="A94" s="2">
        <f t="shared" si="441"/>
        <v>5</v>
      </c>
      <c r="B94" t="s">
        <v>70</v>
      </c>
      <c r="C94" t="s">
        <v>192</v>
      </c>
      <c r="D94" s="15">
        <f t="shared" ref="D94" ca="1" si="492">INDIRECT("'"&amp;$B94&amp;"'!$f$18")</f>
        <v>372808.9</v>
      </c>
      <c r="E94" s="15">
        <f t="shared" ref="E94" ca="1" si="493">INDIRECT("'"&amp;$B94&amp;"'!$g$18")</f>
        <v>372723.9</v>
      </c>
      <c r="F94" s="15">
        <f t="shared" ref="F94" ca="1" si="494">INDIRECT("'"&amp;$B94&amp;"'!$h$18")</f>
        <v>372713.9</v>
      </c>
      <c r="G94" s="15">
        <f t="shared" ref="G94" ca="1" si="495">INDIRECT("'"&amp;$B94&amp;"'!$i$18")</f>
        <v>372713.9</v>
      </c>
      <c r="H94" s="15">
        <f t="shared" ref="H94" ca="1" si="496">INDIRECT("'"&amp;$B94&amp;"'!$j$18")</f>
        <v>372713.9</v>
      </c>
      <c r="I94" s="15">
        <f t="shared" ref="I94" ca="1" si="497">INDIRECT("'"&amp;$B94&amp;"'!$f$17")</f>
        <v>328125.58</v>
      </c>
      <c r="J94" s="15">
        <f t="shared" ref="J94" ca="1" si="498">INDIRECT("'"&amp;$B94&amp;"'!$g$17")</f>
        <v>335913.4</v>
      </c>
      <c r="K94" s="15">
        <f t="shared" ref="K94" ca="1" si="499">INDIRECT("'"&amp;$B94&amp;"'!$h$17")</f>
        <v>338199.02</v>
      </c>
      <c r="L94" s="15">
        <f t="shared" ref="L94" ca="1" si="500">INDIRECT("'"&amp;$B94&amp;"'!$i$17")</f>
        <v>339273.97</v>
      </c>
      <c r="M94" s="15">
        <f t="shared" ref="M94" ca="1" si="501">INDIRECT("'"&amp;$B94&amp;"'!$j$17")</f>
        <v>340439.39</v>
      </c>
      <c r="N94" s="94">
        <f ca="1">IFERROR(INDIRECT("'"&amp;$B94&amp;"'!$j$17")/INDIRECT("'"&amp;$B94&amp;"'!$j$18"),1)</f>
        <v>0.9134067444224645</v>
      </c>
      <c r="O94" s="2">
        <v>12</v>
      </c>
    </row>
    <row r="95" spans="1:15" x14ac:dyDescent="0.25">
      <c r="A95" s="2">
        <f t="shared" si="441"/>
        <v>5</v>
      </c>
      <c r="B95" t="s">
        <v>70</v>
      </c>
      <c r="C95" t="s">
        <v>193</v>
      </c>
      <c r="D95" s="15">
        <f t="shared" ref="D95" ca="1" si="502">INDIRECT("'"&amp;$B95&amp;"'!$g$22")</f>
        <v>378290.85</v>
      </c>
      <c r="E95" s="15">
        <f t="shared" ref="E95" ca="1" si="503">INDIRECT("'"&amp;$B95&amp;"'!$h$22")</f>
        <v>378230.85</v>
      </c>
      <c r="F95" s="15">
        <f t="shared" ref="F95" ca="1" si="504">INDIRECT("'"&amp;$B95&amp;"'!$i$22")</f>
        <v>377816.85</v>
      </c>
      <c r="G95" s="15">
        <f t="shared" ref="G95" ca="1" si="505">INDIRECT("'"&amp;$B95&amp;"'!$j$22")</f>
        <v>377816.85</v>
      </c>
      <c r="H95" s="15">
        <f t="shared" ref="H95" ca="1" si="506">INDIRECT("'"&amp;$B95&amp;"'!$k$22")</f>
        <v>377816.85</v>
      </c>
      <c r="I95" s="15">
        <f t="shared" ref="I95" ca="1" si="507">INDIRECT("'"&amp;$B95&amp;"'!$g$21")</f>
        <v>330478.37</v>
      </c>
      <c r="J95" s="15">
        <f t="shared" ref="J95" ca="1" si="508">INDIRECT("'"&amp;$B95&amp;"'!$h$21")</f>
        <v>342929.02</v>
      </c>
      <c r="K95" s="15">
        <f t="shared" ref="K95" ca="1" si="509">INDIRECT("'"&amp;$B95&amp;"'!$i$21")</f>
        <v>346065.97</v>
      </c>
      <c r="L95" s="15">
        <f t="shared" ref="L95" ca="1" si="510">INDIRECT("'"&amp;$B95&amp;"'!$j$21")</f>
        <v>347292.17</v>
      </c>
      <c r="M95" s="15">
        <f t="shared" ref="M95" ca="1" si="511">INDIRECT("'"&amp;$B95&amp;"'!$k$21")</f>
        <v>348678.2</v>
      </c>
      <c r="N95" s="94">
        <f ca="1">IFERROR(INDIRECT("'"&amp;$B95&amp;"'!$k$21")/INDIRECT("'"&amp;$B95&amp;"'!$k$22"),1)</f>
        <v>0.92287625604840029</v>
      </c>
      <c r="O95" s="2">
        <v>12</v>
      </c>
    </row>
    <row r="96" spans="1:15" x14ac:dyDescent="0.25">
      <c r="A96" s="2">
        <f t="shared" si="441"/>
        <v>5</v>
      </c>
      <c r="B96" t="s">
        <v>70</v>
      </c>
      <c r="C96" t="s">
        <v>194</v>
      </c>
      <c r="D96" s="15">
        <f t="shared" ref="D96" ca="1" si="512">INDIRECT("'"&amp;$B96&amp;"'!$h$26")</f>
        <v>331900.09999999998</v>
      </c>
      <c r="E96" s="15">
        <f t="shared" ref="E96" ca="1" si="513">INDIRECT("'"&amp;$B96&amp;"'!$i$26")</f>
        <v>331900.09999999998</v>
      </c>
      <c r="F96" s="15">
        <f t="shared" ref="F96" ca="1" si="514">INDIRECT("'"&amp;$B96&amp;"'!$j$26")</f>
        <v>331900.09999999998</v>
      </c>
      <c r="G96" s="15">
        <f t="shared" ref="G96" ca="1" si="515">INDIRECT("'"&amp;$B96&amp;"'!$k$26")</f>
        <v>331900.09999999998</v>
      </c>
      <c r="H96" s="15">
        <f t="shared" ref="H96" ca="1" si="516">INDIRECT("'"&amp;$B96&amp;"'!$l$26")</f>
        <v>0</v>
      </c>
      <c r="I96" s="15">
        <f t="shared" ref="I96" ca="1" si="517">INDIRECT("'"&amp;$B96&amp;"'!$h$25")</f>
        <v>278730.53000000003</v>
      </c>
      <c r="J96" s="15">
        <f t="shared" ref="J96" ca="1" si="518">INDIRECT("'"&amp;$B96&amp;"'!$i$25")</f>
        <v>295555.46000000002</v>
      </c>
      <c r="K96" s="15">
        <f t="shared" ref="K96" ca="1" si="519">INDIRECT("'"&amp;$B96&amp;"'!$j$25")</f>
        <v>300494.14</v>
      </c>
      <c r="L96" s="15">
        <f t="shared" ref="L96" ca="1" si="520">INDIRECT("'"&amp;$B96&amp;"'!$k$25")</f>
        <v>302460.23</v>
      </c>
      <c r="M96" s="15">
        <f t="shared" ref="M96" ca="1" si="521">INDIRECT("'"&amp;$B96&amp;"'!$l$25")</f>
        <v>0</v>
      </c>
      <c r="N96" s="94">
        <f ca="1">IFERROR(INDIRECT("'"&amp;$B96&amp;"'!$l$25")/INDIRECT("'"&amp;$B96&amp;"'!$l$26"),1)</f>
        <v>1</v>
      </c>
      <c r="O96" s="2">
        <v>12</v>
      </c>
    </row>
    <row r="97" spans="1:19" x14ac:dyDescent="0.25">
      <c r="A97" s="2">
        <f t="shared" si="441"/>
        <v>5</v>
      </c>
      <c r="B97" t="s">
        <v>70</v>
      </c>
      <c r="C97" t="s">
        <v>227</v>
      </c>
      <c r="D97" s="15">
        <f t="shared" ref="D97" ca="1" si="522">INDIRECT("'"&amp;$B97&amp;"'!$i$30")</f>
        <v>290401.3</v>
      </c>
      <c r="E97" s="15">
        <f t="shared" ref="E97" ca="1" si="523">INDIRECT("'"&amp;$B97&amp;"'!$j$30")</f>
        <v>290401.3</v>
      </c>
      <c r="F97" s="15">
        <f t="shared" ref="F97" ca="1" si="524">INDIRECT("'"&amp;$B97&amp;"'!$k$30")</f>
        <v>290401.3</v>
      </c>
      <c r="G97" s="15">
        <f t="shared" ref="G97" ca="1" si="525">INDIRECT("'"&amp;$B97&amp;"'!$l$30")</f>
        <v>0</v>
      </c>
      <c r="H97" s="15"/>
      <c r="I97" s="15">
        <f t="shared" ref="I97" ca="1" si="526">INDIRECT("'"&amp;$B97&amp;"'!$i$29")</f>
        <v>262022.19</v>
      </c>
      <c r="J97" s="15">
        <f t="shared" ref="J97" ca="1" si="527">INDIRECT("'"&amp;$B97&amp;"'!$j$29")</f>
        <v>267554.86</v>
      </c>
      <c r="K97" s="15">
        <f t="shared" ref="K97" ca="1" si="528">INDIRECT("'"&amp;$B97&amp;"'!$k$29")</f>
        <v>269576.09999999998</v>
      </c>
      <c r="L97" s="15">
        <f t="shared" ref="L97" ca="1" si="529">INDIRECT("'"&amp;$B97&amp;"'!$l$29")</f>
        <v>0</v>
      </c>
      <c r="M97" s="15"/>
      <c r="N97" s="94">
        <v>1</v>
      </c>
      <c r="O97" s="2">
        <v>12</v>
      </c>
    </row>
    <row r="98" spans="1:19" x14ac:dyDescent="0.25">
      <c r="A98" s="2">
        <f t="shared" si="441"/>
        <v>5</v>
      </c>
      <c r="B98" t="s">
        <v>70</v>
      </c>
      <c r="C98" t="s">
        <v>228</v>
      </c>
      <c r="D98" s="15">
        <f t="shared" ref="D98" ca="1" si="530">INDIRECT("'"&amp;$B98&amp;"'!$j$34")</f>
        <v>326951.05</v>
      </c>
      <c r="E98" s="15">
        <f t="shared" ref="E98" ca="1" si="531">INDIRECT("'"&amp;$B98&amp;"'!$k$34")</f>
        <v>326891.05</v>
      </c>
      <c r="F98" s="15">
        <f t="shared" ref="F98" ca="1" si="532">INDIRECT("'"&amp;$B98&amp;"'!$l$34")</f>
        <v>0</v>
      </c>
      <c r="G98" s="15"/>
      <c r="H98" s="15"/>
      <c r="I98" s="15">
        <f t="shared" ref="I98" ca="1" si="533">INDIRECT("'"&amp;$B98&amp;"'!$j$33")</f>
        <v>291145.5</v>
      </c>
      <c r="J98" s="15">
        <f t="shared" ref="J98" ca="1" si="534">INDIRECT("'"&amp;$B98&amp;"'!$k$33")</f>
        <v>305969.84000000003</v>
      </c>
      <c r="K98" s="15">
        <f t="shared" ref="K98" ca="1" si="535">INDIRECT("'"&amp;$B98&amp;"'!$l$33")</f>
        <v>0</v>
      </c>
      <c r="L98" s="15"/>
      <c r="M98" s="15"/>
      <c r="N98" s="94">
        <v>1</v>
      </c>
      <c r="O98" s="2">
        <v>12</v>
      </c>
    </row>
    <row r="99" spans="1:19" x14ac:dyDescent="0.25">
      <c r="A99" s="2">
        <f t="shared" si="441"/>
        <v>5</v>
      </c>
      <c r="B99" t="s">
        <v>70</v>
      </c>
      <c r="C99" t="s">
        <v>229</v>
      </c>
      <c r="D99" s="15">
        <f t="shared" ref="D99" ca="1" si="536">INDIRECT("'"&amp;$B99&amp;"'!$k$38")</f>
        <v>354029.95</v>
      </c>
      <c r="E99" s="15">
        <f t="shared" ref="E99" ca="1" si="537">INDIRECT("'"&amp;$B99&amp;"'!$l$38")</f>
        <v>0</v>
      </c>
      <c r="F99" s="15"/>
      <c r="G99" s="15"/>
      <c r="H99" s="15"/>
      <c r="I99" s="15">
        <f t="shared" ref="I99" ca="1" si="538">INDIRECT("'"&amp;$B99&amp;"'!$k$37")</f>
        <v>319425.31</v>
      </c>
      <c r="J99" s="15">
        <f t="shared" ref="J99" ca="1" si="539">INDIRECT("'"&amp;$B99&amp;"'!$l$37")</f>
        <v>0</v>
      </c>
      <c r="K99" s="15"/>
      <c r="L99" s="15"/>
      <c r="M99" s="15"/>
      <c r="N99" s="94">
        <v>1</v>
      </c>
      <c r="O99" s="2">
        <v>12</v>
      </c>
    </row>
    <row r="100" spans="1:19" x14ac:dyDescent="0.25">
      <c r="A100" s="2">
        <f t="shared" si="441"/>
        <v>5</v>
      </c>
      <c r="B100" t="s">
        <v>70</v>
      </c>
      <c r="C100" t="s">
        <v>230</v>
      </c>
      <c r="D100" s="15">
        <f t="shared" ref="D100" ca="1" si="540">INDIRECT("'"&amp;$B100&amp;"'!$l$42")</f>
        <v>0</v>
      </c>
      <c r="E100" s="15"/>
      <c r="F100" s="15"/>
      <c r="G100" s="15"/>
      <c r="H100" s="15"/>
      <c r="I100" s="15">
        <f t="shared" ref="I100" ca="1" si="541">INDIRECT("'"&amp;$B100&amp;"'!$l$41")</f>
        <v>0</v>
      </c>
      <c r="J100" s="15"/>
      <c r="K100" s="15"/>
      <c r="L100" s="15"/>
      <c r="M100" s="15"/>
      <c r="N100" s="94">
        <v>1</v>
      </c>
      <c r="O100" s="2">
        <v>12</v>
      </c>
    </row>
    <row r="101" spans="1:19" x14ac:dyDescent="0.25">
      <c r="A101" s="91" t="s">
        <v>71</v>
      </c>
      <c r="B101" s="91" t="s">
        <v>90</v>
      </c>
      <c r="C101" s="91" t="s">
        <v>195</v>
      </c>
      <c r="D101" s="91" t="s">
        <v>196</v>
      </c>
      <c r="E101" s="91" t="s">
        <v>197</v>
      </c>
      <c r="F101" s="91" t="s">
        <v>198</v>
      </c>
      <c r="G101" s="91" t="s">
        <v>91</v>
      </c>
      <c r="H101" s="91" t="s">
        <v>92</v>
      </c>
      <c r="I101" s="91" t="s">
        <v>93</v>
      </c>
      <c r="J101" s="91" t="s">
        <v>94</v>
      </c>
      <c r="K101" s="91" t="s">
        <v>95</v>
      </c>
      <c r="L101" s="91" t="s">
        <v>96</v>
      </c>
      <c r="M101" s="91" t="s">
        <v>97</v>
      </c>
      <c r="N101" s="91" t="s">
        <v>98</v>
      </c>
      <c r="O101" s="91" t="s">
        <v>99</v>
      </c>
      <c r="P101" s="91" t="s">
        <v>100</v>
      </c>
      <c r="Q101" s="91" t="s">
        <v>101</v>
      </c>
      <c r="R101" s="91" t="s">
        <v>102</v>
      </c>
      <c r="S101" s="91" t="s">
        <v>103</v>
      </c>
    </row>
    <row r="102" spans="1:19" x14ac:dyDescent="0.25">
      <c r="A102" s="2">
        <f>A21</f>
        <v>5</v>
      </c>
      <c r="B102" s="2">
        <v>18</v>
      </c>
      <c r="C102" s="2" t="s">
        <v>189</v>
      </c>
      <c r="D102" s="92" t="s">
        <v>142</v>
      </c>
      <c r="E102" t="s">
        <v>104</v>
      </c>
      <c r="F102" t="s">
        <v>191</v>
      </c>
      <c r="G102" s="2">
        <f ca="1">INDIRECT("'"&amp;$E102&amp;"'!$M$12")</f>
        <v>0</v>
      </c>
      <c r="J102" s="25"/>
      <c r="S102" s="2">
        <v>12</v>
      </c>
    </row>
    <row r="103" spans="1:19" x14ac:dyDescent="0.25">
      <c r="A103" s="2">
        <f>A102</f>
        <v>5</v>
      </c>
      <c r="B103" s="2">
        <v>18</v>
      </c>
      <c r="C103" s="2" t="s">
        <v>189</v>
      </c>
      <c r="D103" s="92" t="s">
        <v>142</v>
      </c>
      <c r="E103" t="s">
        <v>104</v>
      </c>
      <c r="F103" t="s">
        <v>192</v>
      </c>
      <c r="G103" s="2">
        <f ca="1">INDIRECT("'"&amp;$E103&amp;"'!$M$16")</f>
        <v>0</v>
      </c>
      <c r="J103" s="25"/>
      <c r="S103" s="2">
        <v>12</v>
      </c>
    </row>
    <row r="104" spans="1:19" x14ac:dyDescent="0.25">
      <c r="A104" s="2">
        <f t="shared" ref="A104:A167" si="542">A103</f>
        <v>5</v>
      </c>
      <c r="B104" s="2">
        <v>18</v>
      </c>
      <c r="C104" s="2" t="s">
        <v>189</v>
      </c>
      <c r="D104" s="92" t="s">
        <v>142</v>
      </c>
      <c r="E104" t="s">
        <v>104</v>
      </c>
      <c r="F104" t="s">
        <v>193</v>
      </c>
      <c r="G104" s="2">
        <f ca="1">INDIRECT("'"&amp;$E104&amp;"'!$M$20")</f>
        <v>0</v>
      </c>
      <c r="J104" s="25"/>
      <c r="S104" s="2">
        <v>12</v>
      </c>
    </row>
    <row r="105" spans="1:19" x14ac:dyDescent="0.25">
      <c r="A105" s="2">
        <f t="shared" si="542"/>
        <v>5</v>
      </c>
      <c r="B105" s="2">
        <v>18</v>
      </c>
      <c r="C105" s="2" t="s">
        <v>189</v>
      </c>
      <c r="D105" s="92" t="s">
        <v>142</v>
      </c>
      <c r="E105" t="s">
        <v>104</v>
      </c>
      <c r="F105" t="s">
        <v>194</v>
      </c>
      <c r="G105" s="2">
        <f ca="1">INDIRECT("'"&amp;$E105&amp;"'!$M$24")</f>
        <v>0</v>
      </c>
      <c r="J105" s="25"/>
      <c r="S105" s="2">
        <v>12</v>
      </c>
    </row>
    <row r="106" spans="1:19" x14ac:dyDescent="0.25">
      <c r="A106" s="2">
        <f t="shared" si="542"/>
        <v>5</v>
      </c>
      <c r="B106" s="2">
        <v>18</v>
      </c>
      <c r="C106" s="2" t="s">
        <v>189</v>
      </c>
      <c r="D106" s="92" t="s">
        <v>142</v>
      </c>
      <c r="E106" t="s">
        <v>105</v>
      </c>
      <c r="F106" t="s">
        <v>191</v>
      </c>
      <c r="G106" s="2" t="str">
        <f ca="1">INDIRECT("'"&amp;$E106&amp;"'!$M$12")</f>
        <v>Internal</v>
      </c>
      <c r="S106" s="2">
        <v>12</v>
      </c>
    </row>
    <row r="107" spans="1:19" x14ac:dyDescent="0.25">
      <c r="A107" s="2">
        <f t="shared" si="542"/>
        <v>5</v>
      </c>
      <c r="B107" s="2">
        <v>18</v>
      </c>
      <c r="C107" s="2" t="s">
        <v>189</v>
      </c>
      <c r="D107" s="92" t="s">
        <v>142</v>
      </c>
      <c r="E107" t="s">
        <v>105</v>
      </c>
      <c r="F107" t="s">
        <v>192</v>
      </c>
      <c r="G107" s="2">
        <f ca="1">INDIRECT("'"&amp;$E107&amp;"'!$M$16")</f>
        <v>0</v>
      </c>
      <c r="S107" s="2">
        <v>12</v>
      </c>
    </row>
    <row r="108" spans="1:19" x14ac:dyDescent="0.25">
      <c r="A108" s="2">
        <f t="shared" si="542"/>
        <v>5</v>
      </c>
      <c r="B108" s="2">
        <v>18</v>
      </c>
      <c r="C108" s="2" t="s">
        <v>189</v>
      </c>
      <c r="D108" s="92" t="s">
        <v>142</v>
      </c>
      <c r="E108" t="s">
        <v>105</v>
      </c>
      <c r="F108" t="s">
        <v>193</v>
      </c>
      <c r="G108" s="2">
        <f ca="1">INDIRECT("'"&amp;$E108&amp;"'!$M$20")</f>
        <v>0</v>
      </c>
      <c r="S108" s="2">
        <v>12</v>
      </c>
    </row>
    <row r="109" spans="1:19" x14ac:dyDescent="0.25">
      <c r="A109" s="2">
        <f t="shared" si="542"/>
        <v>5</v>
      </c>
      <c r="B109" s="2">
        <v>18</v>
      </c>
      <c r="C109" s="2" t="s">
        <v>189</v>
      </c>
      <c r="D109" s="92" t="s">
        <v>142</v>
      </c>
      <c r="E109" t="s">
        <v>105</v>
      </c>
      <c r="F109" t="s">
        <v>194</v>
      </c>
      <c r="G109" s="2">
        <f ca="1">INDIRECT("'"&amp;$E109&amp;"'!$M$24")</f>
        <v>0</v>
      </c>
      <c r="S109" s="2">
        <v>12</v>
      </c>
    </row>
    <row r="110" spans="1:19" x14ac:dyDescent="0.25">
      <c r="A110" s="2">
        <f t="shared" si="542"/>
        <v>5</v>
      </c>
      <c r="B110" s="2">
        <v>18</v>
      </c>
      <c r="C110" s="2" t="s">
        <v>189</v>
      </c>
      <c r="D110" s="92" t="s">
        <v>142</v>
      </c>
      <c r="E110" t="s">
        <v>111</v>
      </c>
      <c r="F110" t="s">
        <v>191</v>
      </c>
      <c r="G110" s="2" t="str">
        <f ca="1">INDIRECT("'"&amp;$E110&amp;"'!$M$12")</f>
        <v>Internal</v>
      </c>
      <c r="S110" s="2">
        <v>12</v>
      </c>
    </row>
    <row r="111" spans="1:19" x14ac:dyDescent="0.25">
      <c r="A111" s="2">
        <f t="shared" si="542"/>
        <v>5</v>
      </c>
      <c r="B111" s="2">
        <v>18</v>
      </c>
      <c r="C111" s="2" t="s">
        <v>189</v>
      </c>
      <c r="D111" s="92" t="s">
        <v>142</v>
      </c>
      <c r="E111" t="s">
        <v>111</v>
      </c>
      <c r="F111" t="s">
        <v>192</v>
      </c>
      <c r="G111" s="2" t="str">
        <f ca="1">INDIRECT("'"&amp;$E111&amp;"'!$M$16")</f>
        <v>Internal</v>
      </c>
      <c r="S111" s="2">
        <v>12</v>
      </c>
    </row>
    <row r="112" spans="1:19" x14ac:dyDescent="0.25">
      <c r="A112" s="2">
        <f t="shared" si="542"/>
        <v>5</v>
      </c>
      <c r="B112" s="2">
        <v>18</v>
      </c>
      <c r="C112" s="2" t="s">
        <v>189</v>
      </c>
      <c r="D112" s="92" t="s">
        <v>142</v>
      </c>
      <c r="E112" t="s">
        <v>111</v>
      </c>
      <c r="F112" t="s">
        <v>193</v>
      </c>
      <c r="G112" s="2">
        <f ca="1">INDIRECT("'"&amp;$E112&amp;"'!$M$20")</f>
        <v>0</v>
      </c>
      <c r="S112" s="2">
        <v>12</v>
      </c>
    </row>
    <row r="113" spans="1:19" x14ac:dyDescent="0.25">
      <c r="A113" s="2">
        <f t="shared" si="542"/>
        <v>5</v>
      </c>
      <c r="B113" s="2">
        <v>18</v>
      </c>
      <c r="C113" s="2" t="s">
        <v>189</v>
      </c>
      <c r="D113" s="92" t="s">
        <v>142</v>
      </c>
      <c r="E113" t="s">
        <v>111</v>
      </c>
      <c r="F113" t="s">
        <v>194</v>
      </c>
      <c r="G113" s="2">
        <f ca="1">INDIRECT("'"&amp;$E113&amp;"'!$M$24")</f>
        <v>0</v>
      </c>
      <c r="S113" s="2">
        <v>12</v>
      </c>
    </row>
    <row r="114" spans="1:19" x14ac:dyDescent="0.25">
      <c r="A114" s="2">
        <f t="shared" si="542"/>
        <v>5</v>
      </c>
      <c r="B114" s="2">
        <v>18</v>
      </c>
      <c r="C114" s="2" t="s">
        <v>189</v>
      </c>
      <c r="D114" s="92" t="s">
        <v>142</v>
      </c>
      <c r="E114" t="s">
        <v>109</v>
      </c>
      <c r="F114" t="s">
        <v>191</v>
      </c>
      <c r="G114" s="2">
        <f ca="1">INDIRECT("'"&amp;$E114&amp;"'!$M$12")</f>
        <v>0</v>
      </c>
      <c r="S114" s="2">
        <v>12</v>
      </c>
    </row>
    <row r="115" spans="1:19" x14ac:dyDescent="0.25">
      <c r="A115" s="2">
        <f t="shared" si="542"/>
        <v>5</v>
      </c>
      <c r="B115" s="2">
        <v>18</v>
      </c>
      <c r="C115" s="2" t="s">
        <v>189</v>
      </c>
      <c r="D115" s="92" t="s">
        <v>142</v>
      </c>
      <c r="E115" t="s">
        <v>109</v>
      </c>
      <c r="F115" t="s">
        <v>192</v>
      </c>
      <c r="G115" s="2">
        <f ca="1">INDIRECT("'"&amp;$E115&amp;"'!$M$16")</f>
        <v>0</v>
      </c>
      <c r="S115" s="2">
        <v>12</v>
      </c>
    </row>
    <row r="116" spans="1:19" x14ac:dyDescent="0.25">
      <c r="A116" s="2">
        <f t="shared" si="542"/>
        <v>5</v>
      </c>
      <c r="B116" s="2">
        <v>18</v>
      </c>
      <c r="C116" s="2" t="s">
        <v>189</v>
      </c>
      <c r="D116" s="92" t="s">
        <v>142</v>
      </c>
      <c r="E116" t="s">
        <v>109</v>
      </c>
      <c r="F116" t="s">
        <v>193</v>
      </c>
      <c r="G116" s="2">
        <f ca="1">INDIRECT("'"&amp;$E116&amp;"'!$M$20")</f>
        <v>0</v>
      </c>
      <c r="S116" s="2">
        <v>12</v>
      </c>
    </row>
    <row r="117" spans="1:19" x14ac:dyDescent="0.25">
      <c r="A117" s="2">
        <f t="shared" si="542"/>
        <v>5</v>
      </c>
      <c r="B117" s="2">
        <v>18</v>
      </c>
      <c r="C117" s="2" t="s">
        <v>189</v>
      </c>
      <c r="D117" s="92" t="s">
        <v>142</v>
      </c>
      <c r="E117" t="s">
        <v>109</v>
      </c>
      <c r="F117" t="s">
        <v>194</v>
      </c>
      <c r="G117" s="2">
        <f ca="1">INDIRECT("'"&amp;$E117&amp;"'!$M$24")</f>
        <v>0</v>
      </c>
      <c r="S117" s="2">
        <v>12</v>
      </c>
    </row>
    <row r="118" spans="1:19" x14ac:dyDescent="0.25">
      <c r="A118" s="2">
        <f t="shared" si="542"/>
        <v>5</v>
      </c>
      <c r="B118" s="2">
        <v>18</v>
      </c>
      <c r="C118" s="2" t="s">
        <v>189</v>
      </c>
      <c r="D118" s="92" t="s">
        <v>142</v>
      </c>
      <c r="E118" t="s">
        <v>106</v>
      </c>
      <c r="F118" t="s">
        <v>191</v>
      </c>
      <c r="G118" s="2" t="str">
        <f ca="1">INDIRECT("'"&amp;$E118&amp;"'!$M$12")</f>
        <v>Internal</v>
      </c>
      <c r="S118" s="2">
        <v>12</v>
      </c>
    </row>
    <row r="119" spans="1:19" x14ac:dyDescent="0.25">
      <c r="A119" s="2">
        <f t="shared" si="542"/>
        <v>5</v>
      </c>
      <c r="B119" s="2">
        <v>18</v>
      </c>
      <c r="C119" s="2" t="s">
        <v>189</v>
      </c>
      <c r="D119" s="92" t="s">
        <v>142</v>
      </c>
      <c r="E119" t="s">
        <v>106</v>
      </c>
      <c r="F119" t="s">
        <v>192</v>
      </c>
      <c r="G119" s="2" t="str">
        <f ca="1">INDIRECT("'"&amp;$E119&amp;"'!$M$16")</f>
        <v>Internal</v>
      </c>
      <c r="S119" s="2">
        <v>12</v>
      </c>
    </row>
    <row r="120" spans="1:19" x14ac:dyDescent="0.25">
      <c r="A120" s="2">
        <f t="shared" si="542"/>
        <v>5</v>
      </c>
      <c r="B120" s="2">
        <v>18</v>
      </c>
      <c r="C120" s="2" t="s">
        <v>189</v>
      </c>
      <c r="D120" s="92" t="s">
        <v>142</v>
      </c>
      <c r="E120" t="s">
        <v>106</v>
      </c>
      <c r="F120" t="s">
        <v>193</v>
      </c>
      <c r="G120" s="2" t="str">
        <f ca="1">INDIRECT("'"&amp;$E120&amp;"'!$M$20")</f>
        <v>Internal</v>
      </c>
      <c r="S120" s="2">
        <v>12</v>
      </c>
    </row>
    <row r="121" spans="1:19" x14ac:dyDescent="0.25">
      <c r="A121" s="2">
        <f t="shared" si="542"/>
        <v>5</v>
      </c>
      <c r="B121" s="2">
        <v>18</v>
      </c>
      <c r="C121" s="2" t="s">
        <v>189</v>
      </c>
      <c r="D121" s="92" t="s">
        <v>142</v>
      </c>
      <c r="E121" t="s">
        <v>106</v>
      </c>
      <c r="F121" t="s">
        <v>194</v>
      </c>
      <c r="G121" s="2">
        <f ca="1">INDIRECT("'"&amp;$E121&amp;"'!$M$24")</f>
        <v>0</v>
      </c>
      <c r="S121" s="2">
        <v>12</v>
      </c>
    </row>
    <row r="122" spans="1:19" x14ac:dyDescent="0.25">
      <c r="A122" s="2">
        <f t="shared" si="542"/>
        <v>5</v>
      </c>
      <c r="B122" s="2">
        <v>18</v>
      </c>
      <c r="C122" s="2" t="s">
        <v>189</v>
      </c>
      <c r="D122" s="92" t="s">
        <v>142</v>
      </c>
      <c r="E122" t="s">
        <v>107</v>
      </c>
      <c r="F122" t="s">
        <v>191</v>
      </c>
      <c r="G122" s="2">
        <f ca="1">INDIRECT("'"&amp;$E122&amp;"'!$M$12")</f>
        <v>0</v>
      </c>
      <c r="S122" s="2">
        <v>12</v>
      </c>
    </row>
    <row r="123" spans="1:19" x14ac:dyDescent="0.25">
      <c r="A123" s="2">
        <f t="shared" si="542"/>
        <v>5</v>
      </c>
      <c r="B123" s="2">
        <v>18</v>
      </c>
      <c r="C123" s="2" t="s">
        <v>189</v>
      </c>
      <c r="D123" s="92" t="s">
        <v>142</v>
      </c>
      <c r="E123" t="s">
        <v>107</v>
      </c>
      <c r="F123" t="s">
        <v>192</v>
      </c>
      <c r="G123" s="2">
        <f ca="1">INDIRECT("'"&amp;$E123&amp;"'!$M$16")</f>
        <v>0</v>
      </c>
      <c r="S123" s="2">
        <v>12</v>
      </c>
    </row>
    <row r="124" spans="1:19" x14ac:dyDescent="0.25">
      <c r="A124" s="2">
        <f t="shared" si="542"/>
        <v>5</v>
      </c>
      <c r="B124" s="2">
        <v>18</v>
      </c>
      <c r="C124" s="2" t="s">
        <v>189</v>
      </c>
      <c r="D124" s="92" t="s">
        <v>142</v>
      </c>
      <c r="E124" t="s">
        <v>107</v>
      </c>
      <c r="F124" t="s">
        <v>193</v>
      </c>
      <c r="G124" s="2">
        <f ca="1">INDIRECT("'"&amp;$E124&amp;"'!$M$20")</f>
        <v>0</v>
      </c>
      <c r="S124" s="2">
        <v>12</v>
      </c>
    </row>
    <row r="125" spans="1:19" x14ac:dyDescent="0.25">
      <c r="A125" s="2">
        <f t="shared" si="542"/>
        <v>5</v>
      </c>
      <c r="B125" s="2">
        <v>18</v>
      </c>
      <c r="C125" s="2" t="s">
        <v>189</v>
      </c>
      <c r="D125" s="92" t="s">
        <v>142</v>
      </c>
      <c r="E125" t="s">
        <v>107</v>
      </c>
      <c r="F125" t="s">
        <v>194</v>
      </c>
      <c r="G125" s="2">
        <f ca="1">INDIRECT("'"&amp;$E125&amp;"'!$M$24")</f>
        <v>0</v>
      </c>
      <c r="S125" s="2">
        <v>12</v>
      </c>
    </row>
    <row r="126" spans="1:19" x14ac:dyDescent="0.25">
      <c r="A126" s="2">
        <f t="shared" si="542"/>
        <v>5</v>
      </c>
      <c r="B126" s="2">
        <v>18</v>
      </c>
      <c r="C126" s="2" t="s">
        <v>189</v>
      </c>
      <c r="D126" s="92" t="s">
        <v>142</v>
      </c>
      <c r="E126" t="s">
        <v>110</v>
      </c>
      <c r="F126" t="s">
        <v>191</v>
      </c>
      <c r="G126" s="2" t="str">
        <f ca="1">INDIRECT("'"&amp;$E126&amp;"'!$M$12")</f>
        <v>Internal</v>
      </c>
      <c r="S126" s="2">
        <v>12</v>
      </c>
    </row>
    <row r="127" spans="1:19" x14ac:dyDescent="0.25">
      <c r="A127" s="2">
        <f t="shared" si="542"/>
        <v>5</v>
      </c>
      <c r="B127" s="2">
        <v>18</v>
      </c>
      <c r="C127" s="2" t="s">
        <v>189</v>
      </c>
      <c r="D127" s="92" t="s">
        <v>142</v>
      </c>
      <c r="E127" t="s">
        <v>110</v>
      </c>
      <c r="F127" t="s">
        <v>192</v>
      </c>
      <c r="G127" s="2" t="str">
        <f ca="1">INDIRECT("'"&amp;$E127&amp;"'!$M$16")</f>
        <v>Internal</v>
      </c>
      <c r="S127" s="2">
        <v>12</v>
      </c>
    </row>
    <row r="128" spans="1:19" x14ac:dyDescent="0.25">
      <c r="A128" s="2">
        <f t="shared" si="542"/>
        <v>5</v>
      </c>
      <c r="B128" s="2">
        <v>18</v>
      </c>
      <c r="C128" s="2" t="s">
        <v>189</v>
      </c>
      <c r="D128" s="92" t="s">
        <v>142</v>
      </c>
      <c r="E128" t="s">
        <v>110</v>
      </c>
      <c r="F128" t="s">
        <v>193</v>
      </c>
      <c r="G128" s="2" t="str">
        <f ca="1">INDIRECT("'"&amp;$E128&amp;"'!$M$20")</f>
        <v>Internal</v>
      </c>
      <c r="S128" s="2">
        <v>12</v>
      </c>
    </row>
    <row r="129" spans="1:19" x14ac:dyDescent="0.25">
      <c r="A129" s="2">
        <f t="shared" si="542"/>
        <v>5</v>
      </c>
      <c r="B129" s="2">
        <v>18</v>
      </c>
      <c r="C129" s="2" t="s">
        <v>189</v>
      </c>
      <c r="D129" s="92" t="s">
        <v>142</v>
      </c>
      <c r="E129" t="s">
        <v>110</v>
      </c>
      <c r="F129" t="s">
        <v>194</v>
      </c>
      <c r="G129" s="2">
        <f ca="1">INDIRECT("'"&amp;$E129&amp;"'!$M$24")</f>
        <v>0</v>
      </c>
      <c r="S129" s="2">
        <v>12</v>
      </c>
    </row>
    <row r="130" spans="1:19" x14ac:dyDescent="0.25">
      <c r="A130" s="2">
        <f t="shared" si="542"/>
        <v>5</v>
      </c>
      <c r="B130" s="2">
        <v>18</v>
      </c>
      <c r="C130" s="2" t="s">
        <v>189</v>
      </c>
      <c r="D130" s="92" t="s">
        <v>142</v>
      </c>
      <c r="E130" t="s">
        <v>108</v>
      </c>
      <c r="F130" t="s">
        <v>191</v>
      </c>
      <c r="G130" s="2">
        <f ca="1">INDIRECT("'"&amp;$E130&amp;"'!$M$12")</f>
        <v>0</v>
      </c>
      <c r="S130" s="2">
        <v>12</v>
      </c>
    </row>
    <row r="131" spans="1:19" x14ac:dyDescent="0.25">
      <c r="A131" s="2">
        <f t="shared" si="542"/>
        <v>5</v>
      </c>
      <c r="B131" s="2">
        <v>18</v>
      </c>
      <c r="C131" s="2" t="s">
        <v>189</v>
      </c>
      <c r="D131" s="92" t="s">
        <v>142</v>
      </c>
      <c r="E131" t="s">
        <v>108</v>
      </c>
      <c r="F131" t="s">
        <v>192</v>
      </c>
      <c r="G131" s="2">
        <f ca="1">INDIRECT("'"&amp;$E131&amp;"'!$M$16")</f>
        <v>0</v>
      </c>
      <c r="S131" s="2">
        <v>12</v>
      </c>
    </row>
    <row r="132" spans="1:19" x14ac:dyDescent="0.25">
      <c r="A132" s="2">
        <f t="shared" si="542"/>
        <v>5</v>
      </c>
      <c r="B132" s="2">
        <v>18</v>
      </c>
      <c r="C132" s="2" t="s">
        <v>189</v>
      </c>
      <c r="D132" s="92" t="s">
        <v>142</v>
      </c>
      <c r="E132" t="s">
        <v>108</v>
      </c>
      <c r="F132" t="s">
        <v>193</v>
      </c>
      <c r="G132" s="2" t="str">
        <f ca="1">INDIRECT("'"&amp;$E132&amp;"'!$M$20")</f>
        <v>Internal</v>
      </c>
      <c r="S132" s="2">
        <v>12</v>
      </c>
    </row>
    <row r="133" spans="1:19" x14ac:dyDescent="0.25">
      <c r="A133" s="2">
        <f t="shared" si="542"/>
        <v>5</v>
      </c>
      <c r="B133" s="2">
        <v>18</v>
      </c>
      <c r="C133" s="2" t="s">
        <v>189</v>
      </c>
      <c r="D133" s="92" t="s">
        <v>142</v>
      </c>
      <c r="E133" t="s">
        <v>108</v>
      </c>
      <c r="F133" t="s">
        <v>194</v>
      </c>
      <c r="G133" s="2">
        <f ca="1">INDIRECT("'"&amp;$E133&amp;"'!$M$24")</f>
        <v>0</v>
      </c>
      <c r="S133" s="2">
        <v>12</v>
      </c>
    </row>
    <row r="134" spans="1:19" x14ac:dyDescent="0.25">
      <c r="A134" s="2">
        <f t="shared" si="542"/>
        <v>5</v>
      </c>
      <c r="B134" s="2">
        <v>18</v>
      </c>
      <c r="C134" s="2" t="s">
        <v>189</v>
      </c>
      <c r="D134" s="92" t="s">
        <v>142</v>
      </c>
      <c r="E134" t="s">
        <v>70</v>
      </c>
      <c r="F134" t="s">
        <v>191</v>
      </c>
      <c r="G134" s="2">
        <f ca="1">INDIRECT("'"&amp;$E134&amp;"'!$M$12")</f>
        <v>0</v>
      </c>
      <c r="S134" s="2">
        <v>12</v>
      </c>
    </row>
    <row r="135" spans="1:19" x14ac:dyDescent="0.25">
      <c r="A135" s="2">
        <f t="shared" si="542"/>
        <v>5</v>
      </c>
      <c r="B135" s="2">
        <v>18</v>
      </c>
      <c r="C135" s="2" t="s">
        <v>189</v>
      </c>
      <c r="D135" s="92" t="s">
        <v>142</v>
      </c>
      <c r="E135" t="s">
        <v>70</v>
      </c>
      <c r="F135" t="s">
        <v>192</v>
      </c>
      <c r="G135" s="2">
        <f ca="1">INDIRECT("'"&amp;$E135&amp;"'!$M$16")</f>
        <v>0</v>
      </c>
      <c r="S135" s="2">
        <v>12</v>
      </c>
    </row>
    <row r="136" spans="1:19" x14ac:dyDescent="0.25">
      <c r="A136" s="2">
        <f t="shared" si="542"/>
        <v>5</v>
      </c>
      <c r="B136" s="2">
        <v>18</v>
      </c>
      <c r="C136" s="2" t="s">
        <v>189</v>
      </c>
      <c r="D136" s="92" t="s">
        <v>142</v>
      </c>
      <c r="E136" t="s">
        <v>70</v>
      </c>
      <c r="F136" t="s">
        <v>193</v>
      </c>
      <c r="G136" s="2">
        <f ca="1">INDIRECT("'"&amp;$E136&amp;"'!$M$20")</f>
        <v>0</v>
      </c>
      <c r="S136" s="2">
        <v>12</v>
      </c>
    </row>
    <row r="137" spans="1:19" x14ac:dyDescent="0.25">
      <c r="A137" s="2">
        <f t="shared" si="542"/>
        <v>5</v>
      </c>
      <c r="B137" s="2">
        <v>18</v>
      </c>
      <c r="C137" s="2" t="s">
        <v>189</v>
      </c>
      <c r="D137" s="92" t="s">
        <v>142</v>
      </c>
      <c r="E137" t="s">
        <v>70</v>
      </c>
      <c r="F137" t="s">
        <v>194</v>
      </c>
      <c r="G137" s="2">
        <f ca="1">INDIRECT("'"&amp;$E137&amp;"'!$M$24")</f>
        <v>0</v>
      </c>
      <c r="S137" s="2">
        <v>12</v>
      </c>
    </row>
    <row r="138" spans="1:19" x14ac:dyDescent="0.25">
      <c r="A138" s="2">
        <f t="shared" si="542"/>
        <v>5</v>
      </c>
      <c r="B138" s="2">
        <v>18</v>
      </c>
      <c r="C138" s="2" t="s">
        <v>189</v>
      </c>
      <c r="D138" s="92" t="s">
        <v>199</v>
      </c>
      <c r="E138" t="s">
        <v>104</v>
      </c>
      <c r="F138" t="s">
        <v>191</v>
      </c>
      <c r="G138" s="2">
        <f ca="1">INDIRECT("'"&amp;$E102&amp;"'!$N$12")</f>
        <v>0</v>
      </c>
      <c r="S138" s="2">
        <v>12</v>
      </c>
    </row>
    <row r="139" spans="1:19" x14ac:dyDescent="0.25">
      <c r="A139" s="2">
        <f t="shared" si="542"/>
        <v>5</v>
      </c>
      <c r="B139" s="2">
        <v>18</v>
      </c>
      <c r="C139" s="2" t="s">
        <v>189</v>
      </c>
      <c r="D139" s="92" t="s">
        <v>199</v>
      </c>
      <c r="E139" t="s">
        <v>104</v>
      </c>
      <c r="F139" t="s">
        <v>192</v>
      </c>
      <c r="G139" s="2">
        <f ca="1">INDIRECT("'"&amp;$E103&amp;"'!$N$16")</f>
        <v>0</v>
      </c>
      <c r="S139" s="2">
        <v>12</v>
      </c>
    </row>
    <row r="140" spans="1:19" x14ac:dyDescent="0.25">
      <c r="A140" s="2">
        <f t="shared" si="542"/>
        <v>5</v>
      </c>
      <c r="B140" s="2">
        <v>18</v>
      </c>
      <c r="C140" s="2" t="s">
        <v>189</v>
      </c>
      <c r="D140" s="92" t="s">
        <v>199</v>
      </c>
      <c r="E140" t="s">
        <v>104</v>
      </c>
      <c r="F140" t="s">
        <v>193</v>
      </c>
      <c r="G140" s="2">
        <f ca="1">INDIRECT("'"&amp;$E104&amp;"'!$N$20")</f>
        <v>0</v>
      </c>
      <c r="S140" s="2">
        <v>12</v>
      </c>
    </row>
    <row r="141" spans="1:19" x14ac:dyDescent="0.25">
      <c r="A141" s="2">
        <f t="shared" si="542"/>
        <v>5</v>
      </c>
      <c r="B141" s="2">
        <v>18</v>
      </c>
      <c r="C141" s="2" t="s">
        <v>189</v>
      </c>
      <c r="D141" s="92" t="s">
        <v>199</v>
      </c>
      <c r="E141" t="s">
        <v>104</v>
      </c>
      <c r="F141" t="s">
        <v>194</v>
      </c>
      <c r="G141" s="2">
        <f ca="1">INDIRECT("'"&amp;$E105&amp;"'!$N$24")</f>
        <v>0</v>
      </c>
      <c r="S141" s="2">
        <v>12</v>
      </c>
    </row>
    <row r="142" spans="1:19" x14ac:dyDescent="0.25">
      <c r="A142" s="2">
        <f t="shared" si="542"/>
        <v>5</v>
      </c>
      <c r="B142" s="2">
        <v>18</v>
      </c>
      <c r="C142" s="2" t="s">
        <v>189</v>
      </c>
      <c r="D142" s="92" t="s">
        <v>199</v>
      </c>
      <c r="E142" t="s">
        <v>105</v>
      </c>
      <c r="F142" t="s">
        <v>191</v>
      </c>
      <c r="G142" s="2" t="str">
        <f ca="1">INDIRECT("'"&amp;$E106&amp;"'!$N$12")</f>
        <v xml:space="preserve">The standard was not met dispite pursuit of all collection efforts within control of the Clerk. </v>
      </c>
      <c r="S142" s="2">
        <v>12</v>
      </c>
    </row>
    <row r="143" spans="1:19" x14ac:dyDescent="0.25">
      <c r="A143" s="2">
        <f t="shared" si="542"/>
        <v>5</v>
      </c>
      <c r="B143" s="2">
        <v>18</v>
      </c>
      <c r="C143" s="2" t="s">
        <v>189</v>
      </c>
      <c r="D143" s="92" t="s">
        <v>199</v>
      </c>
      <c r="E143" t="s">
        <v>105</v>
      </c>
      <c r="F143" t="s">
        <v>192</v>
      </c>
      <c r="G143" s="2">
        <f ca="1">INDIRECT("'"&amp;$E107&amp;"'!$N$16")</f>
        <v>0</v>
      </c>
      <c r="S143" s="2">
        <v>12</v>
      </c>
    </row>
    <row r="144" spans="1:19" x14ac:dyDescent="0.25">
      <c r="A144" s="2">
        <f t="shared" si="542"/>
        <v>5</v>
      </c>
      <c r="B144" s="2">
        <v>18</v>
      </c>
      <c r="C144" s="2" t="s">
        <v>189</v>
      </c>
      <c r="D144" s="92" t="s">
        <v>199</v>
      </c>
      <c r="E144" t="s">
        <v>105</v>
      </c>
      <c r="F144" t="s">
        <v>193</v>
      </c>
      <c r="G144" s="2" t="str">
        <f ca="1">INDIRECT("'"&amp;$E108&amp;"'!$N$20")</f>
        <v xml:space="preserve">The standard was not met dispite pursuit of all collection efforts within control of the Clerk. </v>
      </c>
      <c r="S144" s="2">
        <v>12</v>
      </c>
    </row>
    <row r="145" spans="1:19" x14ac:dyDescent="0.25">
      <c r="A145" s="2">
        <f t="shared" si="542"/>
        <v>5</v>
      </c>
      <c r="B145" s="2">
        <v>18</v>
      </c>
      <c r="C145" s="2" t="s">
        <v>189</v>
      </c>
      <c r="D145" s="92" t="s">
        <v>199</v>
      </c>
      <c r="E145" t="s">
        <v>105</v>
      </c>
      <c r="F145" t="s">
        <v>194</v>
      </c>
      <c r="G145" s="2">
        <f ca="1">INDIRECT("'"&amp;$E109&amp;"'!$N$24")</f>
        <v>0</v>
      </c>
      <c r="S145" s="2">
        <v>12</v>
      </c>
    </row>
    <row r="146" spans="1:19" x14ac:dyDescent="0.25">
      <c r="A146" s="2">
        <f t="shared" si="542"/>
        <v>5</v>
      </c>
      <c r="B146" s="2">
        <v>18</v>
      </c>
      <c r="C146" s="2" t="s">
        <v>189</v>
      </c>
      <c r="D146" s="92" t="s">
        <v>199</v>
      </c>
      <c r="E146" t="s">
        <v>111</v>
      </c>
      <c r="F146" t="s">
        <v>191</v>
      </c>
      <c r="G146" s="2" t="str">
        <f ca="1">INDIRECT("'"&amp;$E110&amp;"'!$N$12")</f>
        <v xml:space="preserve">The standard was not met dispite pursuit of all collection efforts within control of the Clerk. </v>
      </c>
      <c r="S146" s="2">
        <v>12</v>
      </c>
    </row>
    <row r="147" spans="1:19" x14ac:dyDescent="0.25">
      <c r="A147" s="2">
        <f t="shared" si="542"/>
        <v>5</v>
      </c>
      <c r="B147" s="2">
        <v>18</v>
      </c>
      <c r="C147" s="2" t="s">
        <v>189</v>
      </c>
      <c r="D147" s="92" t="s">
        <v>199</v>
      </c>
      <c r="E147" t="s">
        <v>111</v>
      </c>
      <c r="F147" t="s">
        <v>192</v>
      </c>
      <c r="G147" s="2" t="str">
        <f ca="1">INDIRECT("'"&amp;$E111&amp;"'!$N$16")</f>
        <v xml:space="preserve">We are working with a new Collection Agency hoping to see a difference within the next Qtr. </v>
      </c>
      <c r="S147" s="2">
        <v>12</v>
      </c>
    </row>
    <row r="148" spans="1:19" x14ac:dyDescent="0.25">
      <c r="A148" s="2">
        <f t="shared" si="542"/>
        <v>5</v>
      </c>
      <c r="B148" s="2">
        <v>18</v>
      </c>
      <c r="C148" s="2" t="s">
        <v>189</v>
      </c>
      <c r="D148" s="92" t="s">
        <v>199</v>
      </c>
      <c r="E148" t="s">
        <v>111</v>
      </c>
      <c r="F148" t="s">
        <v>193</v>
      </c>
      <c r="G148" s="2" t="str">
        <f ca="1">INDIRECT("'"&amp;$E112&amp;"'!$N$20")</f>
        <v xml:space="preserve">The standard was not met dispite pursuit of all collection efforts within control of the Clerk. </v>
      </c>
      <c r="S148" s="2">
        <v>12</v>
      </c>
    </row>
    <row r="149" spans="1:19" x14ac:dyDescent="0.25">
      <c r="A149" s="2">
        <f t="shared" si="542"/>
        <v>5</v>
      </c>
      <c r="B149" s="2">
        <v>18</v>
      </c>
      <c r="C149" s="2" t="s">
        <v>189</v>
      </c>
      <c r="D149" s="92" t="s">
        <v>199</v>
      </c>
      <c r="E149" t="s">
        <v>111</v>
      </c>
      <c r="F149" t="s">
        <v>194</v>
      </c>
      <c r="G149" s="2">
        <f ca="1">INDIRECT("'"&amp;$E113&amp;"'!$N$24")</f>
        <v>0</v>
      </c>
      <c r="S149" s="2">
        <v>12</v>
      </c>
    </row>
    <row r="150" spans="1:19" x14ac:dyDescent="0.25">
      <c r="A150" s="2">
        <f t="shared" si="542"/>
        <v>5</v>
      </c>
      <c r="B150" s="2">
        <v>18</v>
      </c>
      <c r="C150" s="2" t="s">
        <v>189</v>
      </c>
      <c r="D150" s="92" t="s">
        <v>199</v>
      </c>
      <c r="E150" t="s">
        <v>109</v>
      </c>
      <c r="F150" t="s">
        <v>191</v>
      </c>
      <c r="G150" s="2">
        <f ca="1">INDIRECT("'"&amp;$E114&amp;"'!$N$12")</f>
        <v>0</v>
      </c>
      <c r="S150" s="2">
        <v>12</v>
      </c>
    </row>
    <row r="151" spans="1:19" x14ac:dyDescent="0.25">
      <c r="A151" s="2">
        <f t="shared" si="542"/>
        <v>5</v>
      </c>
      <c r="B151" s="2">
        <v>18</v>
      </c>
      <c r="C151" s="2" t="s">
        <v>189</v>
      </c>
      <c r="D151" s="92" t="s">
        <v>199</v>
      </c>
      <c r="E151" t="s">
        <v>109</v>
      </c>
      <c r="F151" t="s">
        <v>192</v>
      </c>
      <c r="G151" s="2">
        <f ca="1">INDIRECT("'"&amp;$E115&amp;"'!$N$16")</f>
        <v>0</v>
      </c>
      <c r="S151" s="2">
        <v>12</v>
      </c>
    </row>
    <row r="152" spans="1:19" x14ac:dyDescent="0.25">
      <c r="A152" s="2">
        <f t="shared" si="542"/>
        <v>5</v>
      </c>
      <c r="B152" s="2">
        <v>18</v>
      </c>
      <c r="C152" s="2" t="s">
        <v>189</v>
      </c>
      <c r="D152" s="92" t="s">
        <v>199</v>
      </c>
      <c r="E152" t="s">
        <v>109</v>
      </c>
      <c r="F152" t="s">
        <v>193</v>
      </c>
      <c r="G152" s="2">
        <f ca="1">INDIRECT("'"&amp;$E116&amp;"'!$N$20")</f>
        <v>0</v>
      </c>
      <c r="S152" s="2">
        <v>12</v>
      </c>
    </row>
    <row r="153" spans="1:19" x14ac:dyDescent="0.25">
      <c r="A153" s="2">
        <f t="shared" si="542"/>
        <v>5</v>
      </c>
      <c r="B153" s="2">
        <v>18</v>
      </c>
      <c r="C153" s="2" t="s">
        <v>189</v>
      </c>
      <c r="D153" s="92" t="s">
        <v>199</v>
      </c>
      <c r="E153" t="s">
        <v>109</v>
      </c>
      <c r="F153" t="s">
        <v>194</v>
      </c>
      <c r="G153" s="2">
        <f ca="1">INDIRECT("'"&amp;$E117&amp;"'!$N$24")</f>
        <v>0</v>
      </c>
      <c r="S153" s="2">
        <v>12</v>
      </c>
    </row>
    <row r="154" spans="1:19" x14ac:dyDescent="0.25">
      <c r="A154" s="2">
        <f t="shared" si="542"/>
        <v>5</v>
      </c>
      <c r="B154" s="2">
        <v>18</v>
      </c>
      <c r="C154" s="2" t="s">
        <v>189</v>
      </c>
      <c r="D154" s="92" t="s">
        <v>199</v>
      </c>
      <c r="E154" t="s">
        <v>106</v>
      </c>
      <c r="F154" t="s">
        <v>191</v>
      </c>
      <c r="G154" s="2" t="str">
        <f ca="1">INDIRECT("'"&amp;$E118&amp;"'!$N$12")</f>
        <v>Ajustments to to assesments</v>
      </c>
      <c r="S154" s="2">
        <v>12</v>
      </c>
    </row>
    <row r="155" spans="1:19" x14ac:dyDescent="0.25">
      <c r="A155" s="2">
        <f t="shared" si="542"/>
        <v>5</v>
      </c>
      <c r="B155" s="2">
        <v>18</v>
      </c>
      <c r="C155" s="2" t="s">
        <v>189</v>
      </c>
      <c r="D155" s="92" t="s">
        <v>199</v>
      </c>
      <c r="E155" t="s">
        <v>106</v>
      </c>
      <c r="F155" t="s">
        <v>192</v>
      </c>
      <c r="G155" s="2" t="str">
        <f ca="1">INDIRECT("'"&amp;$E119&amp;"'!$N$16")</f>
        <v xml:space="preserve">Adjustments made to assesments/increase volumn of payment plan in Circuit Civil </v>
      </c>
      <c r="S155" s="2">
        <v>12</v>
      </c>
    </row>
    <row r="156" spans="1:19" x14ac:dyDescent="0.25">
      <c r="A156" s="2">
        <f t="shared" si="542"/>
        <v>5</v>
      </c>
      <c r="B156" s="2">
        <v>18</v>
      </c>
      <c r="C156" s="2" t="s">
        <v>189</v>
      </c>
      <c r="D156" s="92" t="s">
        <v>199</v>
      </c>
      <c r="E156" t="s">
        <v>106</v>
      </c>
      <c r="F156" t="s">
        <v>193</v>
      </c>
      <c r="G156" s="2" t="str">
        <f ca="1">INDIRECT("'"&amp;$E120&amp;"'!$N$20")</f>
        <v xml:space="preserve">Adjustments made to assesments/increase volumn of payment plan in Circuit Civil </v>
      </c>
      <c r="S156" s="2">
        <v>12</v>
      </c>
    </row>
    <row r="157" spans="1:19" x14ac:dyDescent="0.25">
      <c r="A157" s="2">
        <f t="shared" si="542"/>
        <v>5</v>
      </c>
      <c r="B157" s="2">
        <v>18</v>
      </c>
      <c r="C157" s="2" t="s">
        <v>189</v>
      </c>
      <c r="D157" s="92" t="s">
        <v>199</v>
      </c>
      <c r="E157" t="s">
        <v>106</v>
      </c>
      <c r="F157" t="s">
        <v>194</v>
      </c>
      <c r="G157" s="2">
        <f ca="1">INDIRECT("'"&amp;$E121&amp;"'!$N$24")</f>
        <v>0</v>
      </c>
      <c r="S157" s="2">
        <v>12</v>
      </c>
    </row>
    <row r="158" spans="1:19" x14ac:dyDescent="0.25">
      <c r="A158" s="2">
        <f t="shared" si="542"/>
        <v>5</v>
      </c>
      <c r="B158" s="2">
        <v>18</v>
      </c>
      <c r="C158" s="2" t="s">
        <v>189</v>
      </c>
      <c r="D158" s="92" t="s">
        <v>199</v>
      </c>
      <c r="E158" t="s">
        <v>107</v>
      </c>
      <c r="F158" t="s">
        <v>191</v>
      </c>
      <c r="G158" s="2">
        <f ca="1">INDIRECT("'"&amp;$E122&amp;"'!$N$12")</f>
        <v>0</v>
      </c>
      <c r="S158" s="2">
        <v>12</v>
      </c>
    </row>
    <row r="159" spans="1:19" x14ac:dyDescent="0.25">
      <c r="A159" s="2">
        <f t="shared" si="542"/>
        <v>5</v>
      </c>
      <c r="B159" s="2">
        <v>18</v>
      </c>
      <c r="C159" s="2" t="s">
        <v>189</v>
      </c>
      <c r="D159" s="92" t="s">
        <v>199</v>
      </c>
      <c r="E159" t="s">
        <v>107</v>
      </c>
      <c r="F159" t="s">
        <v>192</v>
      </c>
      <c r="G159" s="2">
        <f ca="1">INDIRECT("'"&amp;$E123&amp;"'!$N$16")</f>
        <v>0</v>
      </c>
      <c r="S159" s="2">
        <v>12</v>
      </c>
    </row>
    <row r="160" spans="1:19" x14ac:dyDescent="0.25">
      <c r="A160" s="2">
        <f t="shared" si="542"/>
        <v>5</v>
      </c>
      <c r="B160" s="2">
        <v>18</v>
      </c>
      <c r="C160" s="2" t="s">
        <v>189</v>
      </c>
      <c r="D160" s="92" t="s">
        <v>199</v>
      </c>
      <c r="E160" t="s">
        <v>107</v>
      </c>
      <c r="F160" t="s">
        <v>193</v>
      </c>
      <c r="G160" s="2">
        <f ca="1">INDIRECT("'"&amp;$E124&amp;"'!$N$20")</f>
        <v>0</v>
      </c>
      <c r="S160" s="2">
        <v>12</v>
      </c>
    </row>
    <row r="161" spans="1:19" x14ac:dyDescent="0.25">
      <c r="A161" s="2">
        <f t="shared" si="542"/>
        <v>5</v>
      </c>
      <c r="B161" s="2">
        <v>18</v>
      </c>
      <c r="C161" s="2" t="s">
        <v>189</v>
      </c>
      <c r="D161" s="92" t="s">
        <v>199</v>
      </c>
      <c r="E161" t="s">
        <v>107</v>
      </c>
      <c r="F161" t="s">
        <v>194</v>
      </c>
      <c r="G161" s="2">
        <f ca="1">INDIRECT("'"&amp;$E125&amp;"'!$N$24")</f>
        <v>0</v>
      </c>
      <c r="S161" s="2">
        <v>12</v>
      </c>
    </row>
    <row r="162" spans="1:19" x14ac:dyDescent="0.25">
      <c r="A162" s="2">
        <f t="shared" si="542"/>
        <v>5</v>
      </c>
      <c r="B162" s="2">
        <v>18</v>
      </c>
      <c r="C162" s="2" t="s">
        <v>189</v>
      </c>
      <c r="D162" s="92" t="s">
        <v>199</v>
      </c>
      <c r="E162" t="s">
        <v>110</v>
      </c>
      <c r="F162" t="s">
        <v>191</v>
      </c>
      <c r="G162" s="2" t="str">
        <f ca="1">INDIRECT("'"&amp;$E126&amp;"'!$N$12")</f>
        <v>The standard was not met dispite pursuit of all collection efforts within control of the clerk.</v>
      </c>
      <c r="S162" s="2">
        <v>12</v>
      </c>
    </row>
    <row r="163" spans="1:19" x14ac:dyDescent="0.25">
      <c r="A163" s="2">
        <f t="shared" si="542"/>
        <v>5</v>
      </c>
      <c r="B163" s="2">
        <v>18</v>
      </c>
      <c r="C163" s="2" t="s">
        <v>189</v>
      </c>
      <c r="D163" s="92" t="s">
        <v>199</v>
      </c>
      <c r="E163" t="s">
        <v>110</v>
      </c>
      <c r="F163" t="s">
        <v>192</v>
      </c>
      <c r="G163" s="2" t="str">
        <f ca="1">INDIRECT("'"&amp;$E127&amp;"'!$N$16")</f>
        <v>The standard was not met dispite pursuit of all collection efforts within control of the clerk.</v>
      </c>
      <c r="S163" s="2">
        <v>12</v>
      </c>
    </row>
    <row r="164" spans="1:19" x14ac:dyDescent="0.25">
      <c r="A164" s="2">
        <f t="shared" si="542"/>
        <v>5</v>
      </c>
      <c r="B164" s="2">
        <v>18</v>
      </c>
      <c r="C164" s="2" t="s">
        <v>189</v>
      </c>
      <c r="D164" s="92" t="s">
        <v>199</v>
      </c>
      <c r="E164" t="s">
        <v>110</v>
      </c>
      <c r="F164" t="s">
        <v>193</v>
      </c>
      <c r="G164" s="2" t="str">
        <f ca="1">INDIRECT("'"&amp;$E128&amp;"'!$N$20")</f>
        <v>The standard was not met dispite pursuit of all collection efforts within control of the clerk.</v>
      </c>
      <c r="S164" s="2">
        <v>12</v>
      </c>
    </row>
    <row r="165" spans="1:19" x14ac:dyDescent="0.25">
      <c r="A165" s="2">
        <f t="shared" si="542"/>
        <v>5</v>
      </c>
      <c r="B165" s="2">
        <v>18</v>
      </c>
      <c r="C165" s="2" t="s">
        <v>189</v>
      </c>
      <c r="D165" s="92" t="s">
        <v>199</v>
      </c>
      <c r="E165" t="s">
        <v>110</v>
      </c>
      <c r="F165" t="s">
        <v>194</v>
      </c>
      <c r="G165" s="2">
        <f ca="1">INDIRECT("'"&amp;$E129&amp;"'!$N$24")</f>
        <v>0</v>
      </c>
      <c r="S165" s="2">
        <v>12</v>
      </c>
    </row>
    <row r="166" spans="1:19" x14ac:dyDescent="0.25">
      <c r="A166" s="2">
        <f t="shared" si="542"/>
        <v>5</v>
      </c>
      <c r="B166" s="2">
        <v>18</v>
      </c>
      <c r="C166" s="2" t="s">
        <v>189</v>
      </c>
      <c r="D166" s="92" t="s">
        <v>199</v>
      </c>
      <c r="E166" t="s">
        <v>108</v>
      </c>
      <c r="F166" t="s">
        <v>191</v>
      </c>
      <c r="G166" s="2">
        <f ca="1">INDIRECT("'"&amp;$E130&amp;"'!$N$12")</f>
        <v>0</v>
      </c>
      <c r="S166" s="2">
        <v>12</v>
      </c>
    </row>
    <row r="167" spans="1:19" x14ac:dyDescent="0.25">
      <c r="A167" s="2">
        <f t="shared" si="542"/>
        <v>5</v>
      </c>
      <c r="B167" s="2">
        <v>18</v>
      </c>
      <c r="C167" s="2" t="s">
        <v>189</v>
      </c>
      <c r="D167" s="92" t="s">
        <v>199</v>
      </c>
      <c r="E167" t="s">
        <v>108</v>
      </c>
      <c r="F167" t="s">
        <v>192</v>
      </c>
      <c r="G167" s="2">
        <f ca="1">INDIRECT("'"&amp;$E131&amp;"'!$N$16")</f>
        <v>0</v>
      </c>
      <c r="S167" s="2">
        <v>12</v>
      </c>
    </row>
    <row r="168" spans="1:19" x14ac:dyDescent="0.25">
      <c r="A168" s="2">
        <f t="shared" ref="A168:A209" si="543">A167</f>
        <v>5</v>
      </c>
      <c r="B168" s="2">
        <v>18</v>
      </c>
      <c r="C168" s="2" t="s">
        <v>189</v>
      </c>
      <c r="D168" s="92" t="s">
        <v>199</v>
      </c>
      <c r="E168" t="s">
        <v>108</v>
      </c>
      <c r="F168" t="s">
        <v>193</v>
      </c>
      <c r="G168" s="2" t="str">
        <f ca="1">INDIRECT("'"&amp;$E132&amp;"'!$N$20")</f>
        <v>Standard was met</v>
      </c>
      <c r="S168" s="2">
        <v>12</v>
      </c>
    </row>
    <row r="169" spans="1:19" x14ac:dyDescent="0.25">
      <c r="A169" s="2">
        <f t="shared" si="543"/>
        <v>5</v>
      </c>
      <c r="B169" s="2">
        <v>18</v>
      </c>
      <c r="C169" s="2" t="s">
        <v>189</v>
      </c>
      <c r="D169" s="92" t="s">
        <v>199</v>
      </c>
      <c r="E169" t="s">
        <v>108</v>
      </c>
      <c r="F169" t="s">
        <v>194</v>
      </c>
      <c r="G169" s="2">
        <f ca="1">INDIRECT("'"&amp;$E133&amp;"'!$N$24")</f>
        <v>0</v>
      </c>
      <c r="S169" s="2">
        <v>12</v>
      </c>
    </row>
    <row r="170" spans="1:19" x14ac:dyDescent="0.25">
      <c r="A170" s="2">
        <f t="shared" si="543"/>
        <v>5</v>
      </c>
      <c r="B170" s="2">
        <v>18</v>
      </c>
      <c r="C170" s="2" t="s">
        <v>189</v>
      </c>
      <c r="D170" s="92" t="s">
        <v>199</v>
      </c>
      <c r="E170" t="s">
        <v>70</v>
      </c>
      <c r="F170" t="s">
        <v>191</v>
      </c>
      <c r="G170" s="2">
        <f ca="1">INDIRECT("'"&amp;$E134&amp;"'!$N$12")</f>
        <v>0</v>
      </c>
      <c r="S170" s="2">
        <v>12</v>
      </c>
    </row>
    <row r="171" spans="1:19" x14ac:dyDescent="0.25">
      <c r="A171" s="2">
        <f t="shared" si="543"/>
        <v>5</v>
      </c>
      <c r="B171" s="2">
        <v>18</v>
      </c>
      <c r="C171" s="2" t="s">
        <v>189</v>
      </c>
      <c r="D171" s="92" t="s">
        <v>199</v>
      </c>
      <c r="E171" t="s">
        <v>70</v>
      </c>
      <c r="F171" t="s">
        <v>192</v>
      </c>
      <c r="G171" s="2">
        <f ca="1">INDIRECT("'"&amp;$E135&amp;"'!$N$16")</f>
        <v>0</v>
      </c>
      <c r="S171" s="2">
        <v>12</v>
      </c>
    </row>
    <row r="172" spans="1:19" x14ac:dyDescent="0.25">
      <c r="A172" s="2">
        <f t="shared" si="543"/>
        <v>5</v>
      </c>
      <c r="B172" s="2">
        <v>18</v>
      </c>
      <c r="C172" s="2" t="s">
        <v>189</v>
      </c>
      <c r="D172" s="92" t="s">
        <v>199</v>
      </c>
      <c r="E172" t="s">
        <v>70</v>
      </c>
      <c r="F172" t="s">
        <v>193</v>
      </c>
      <c r="G172" s="2">
        <f ca="1">INDIRECT("'"&amp;$E136&amp;"'!$N$20")</f>
        <v>0</v>
      </c>
      <c r="S172" s="2">
        <v>12</v>
      </c>
    </row>
    <row r="173" spans="1:19" x14ac:dyDescent="0.25">
      <c r="A173" s="2">
        <f t="shared" si="543"/>
        <v>5</v>
      </c>
      <c r="B173" s="2">
        <v>18</v>
      </c>
      <c r="C173" s="2" t="s">
        <v>189</v>
      </c>
      <c r="D173" s="92" t="s">
        <v>199</v>
      </c>
      <c r="E173" t="s">
        <v>70</v>
      </c>
      <c r="F173" t="s">
        <v>194</v>
      </c>
      <c r="G173" s="2">
        <f ca="1">INDIRECT("'"&amp;$E137&amp;"'!$N$24")</f>
        <v>0</v>
      </c>
      <c r="S173" s="2">
        <v>12</v>
      </c>
    </row>
    <row r="174" spans="1:19" x14ac:dyDescent="0.25">
      <c r="A174" s="2">
        <f t="shared" si="543"/>
        <v>5</v>
      </c>
      <c r="B174" s="2">
        <v>18</v>
      </c>
      <c r="C174" s="2" t="s">
        <v>189</v>
      </c>
      <c r="D174" s="92" t="s">
        <v>200</v>
      </c>
      <c r="E174" t="s">
        <v>104</v>
      </c>
      <c r="F174" t="s">
        <v>191</v>
      </c>
      <c r="G174" s="2">
        <f ca="1">IF(N21&lt;LookupData!$AA$3,1,0)</f>
        <v>0</v>
      </c>
      <c r="S174" s="2">
        <v>12</v>
      </c>
    </row>
    <row r="175" spans="1:19" x14ac:dyDescent="0.25">
      <c r="A175" s="2">
        <f t="shared" si="543"/>
        <v>5</v>
      </c>
      <c r="B175" s="2">
        <v>18</v>
      </c>
      <c r="C175" s="2" t="s">
        <v>189</v>
      </c>
      <c r="D175" s="92" t="s">
        <v>200</v>
      </c>
      <c r="E175" t="s">
        <v>104</v>
      </c>
      <c r="F175" t="s">
        <v>192</v>
      </c>
      <c r="G175" s="2">
        <f ca="1">IF(N22&lt;LookupData!$AA$3,1,0)</f>
        <v>0</v>
      </c>
      <c r="S175" s="2">
        <v>12</v>
      </c>
    </row>
    <row r="176" spans="1:19" x14ac:dyDescent="0.25">
      <c r="A176" s="2">
        <f t="shared" si="543"/>
        <v>5</v>
      </c>
      <c r="B176" s="2">
        <v>18</v>
      </c>
      <c r="C176" s="2" t="s">
        <v>189</v>
      </c>
      <c r="D176" s="92" t="s">
        <v>200</v>
      </c>
      <c r="E176" t="s">
        <v>104</v>
      </c>
      <c r="F176" t="s">
        <v>193</v>
      </c>
      <c r="G176" s="2">
        <f ca="1">IF(N23&lt;LookupData!$AA$3,1,0)</f>
        <v>0</v>
      </c>
      <c r="S176" s="2">
        <v>12</v>
      </c>
    </row>
    <row r="177" spans="1:19" x14ac:dyDescent="0.25">
      <c r="A177" s="2">
        <f t="shared" si="543"/>
        <v>5</v>
      </c>
      <c r="B177" s="2">
        <v>18</v>
      </c>
      <c r="C177" s="2" t="s">
        <v>189</v>
      </c>
      <c r="D177" s="92" t="s">
        <v>200</v>
      </c>
      <c r="E177" t="s">
        <v>104</v>
      </c>
      <c r="F177" t="s">
        <v>194</v>
      </c>
      <c r="G177" s="2">
        <f ca="1">IF(N24&lt;LookupData!$AA$3,1,0)</f>
        <v>0</v>
      </c>
      <c r="S177" s="2">
        <v>12</v>
      </c>
    </row>
    <row r="178" spans="1:19" x14ac:dyDescent="0.25">
      <c r="A178" s="2">
        <f t="shared" si="543"/>
        <v>5</v>
      </c>
      <c r="B178" s="2">
        <v>18</v>
      </c>
      <c r="C178" s="2" t="s">
        <v>189</v>
      </c>
      <c r="D178" s="92" t="s">
        <v>200</v>
      </c>
      <c r="E178" t="s">
        <v>105</v>
      </c>
      <c r="F178" t="s">
        <v>191</v>
      </c>
      <c r="G178" s="2">
        <f ca="1">IF(N37&lt;LookupData!$AA$5,1,0)</f>
        <v>1</v>
      </c>
      <c r="S178" s="2">
        <v>12</v>
      </c>
    </row>
    <row r="179" spans="1:19" x14ac:dyDescent="0.25">
      <c r="A179" s="2">
        <f t="shared" si="543"/>
        <v>5</v>
      </c>
      <c r="B179" s="2">
        <v>18</v>
      </c>
      <c r="C179" s="2" t="s">
        <v>189</v>
      </c>
      <c r="D179" s="92" t="s">
        <v>200</v>
      </c>
      <c r="E179" t="s">
        <v>105</v>
      </c>
      <c r="F179" t="s">
        <v>192</v>
      </c>
      <c r="G179" s="2">
        <f ca="1">IF(N38&lt;LookupData!$AA$5,1,0)</f>
        <v>0</v>
      </c>
      <c r="S179" s="2">
        <v>12</v>
      </c>
    </row>
    <row r="180" spans="1:19" x14ac:dyDescent="0.25">
      <c r="A180" s="2">
        <f t="shared" si="543"/>
        <v>5</v>
      </c>
      <c r="B180" s="2">
        <v>18</v>
      </c>
      <c r="C180" s="2" t="s">
        <v>189</v>
      </c>
      <c r="D180" s="92" t="s">
        <v>200</v>
      </c>
      <c r="E180" t="s">
        <v>105</v>
      </c>
      <c r="F180" t="s">
        <v>193</v>
      </c>
      <c r="G180" s="2">
        <f ca="1">IF(N39&lt;LookupData!$AA$5,1,0)</f>
        <v>1</v>
      </c>
      <c r="S180" s="2">
        <v>12</v>
      </c>
    </row>
    <row r="181" spans="1:19" x14ac:dyDescent="0.25">
      <c r="A181" s="2">
        <f t="shared" si="543"/>
        <v>5</v>
      </c>
      <c r="B181" s="2">
        <v>18</v>
      </c>
      <c r="C181" s="2" t="s">
        <v>189</v>
      </c>
      <c r="D181" s="92" t="s">
        <v>200</v>
      </c>
      <c r="E181" t="s">
        <v>105</v>
      </c>
      <c r="F181" t="s">
        <v>194</v>
      </c>
      <c r="G181" s="2">
        <f ca="1">IF(N40&lt;LookupData!$AA$5,1,0)</f>
        <v>0</v>
      </c>
      <c r="S181" s="2">
        <v>12</v>
      </c>
    </row>
    <row r="182" spans="1:19" x14ac:dyDescent="0.25">
      <c r="A182" s="2">
        <f t="shared" si="543"/>
        <v>5</v>
      </c>
      <c r="B182" s="2">
        <v>18</v>
      </c>
      <c r="C182" s="2" t="s">
        <v>189</v>
      </c>
      <c r="D182" s="92" t="s">
        <v>200</v>
      </c>
      <c r="E182" t="s">
        <v>111</v>
      </c>
      <c r="F182" t="s">
        <v>191</v>
      </c>
      <c r="G182" s="2">
        <f ca="1">IF(N45&lt;LookupData!$AA$6,1,0)</f>
        <v>1</v>
      </c>
      <c r="S182" s="2">
        <v>12</v>
      </c>
    </row>
    <row r="183" spans="1:19" x14ac:dyDescent="0.25">
      <c r="A183" s="2">
        <f t="shared" si="543"/>
        <v>5</v>
      </c>
      <c r="B183" s="2">
        <v>18</v>
      </c>
      <c r="C183" s="2" t="s">
        <v>189</v>
      </c>
      <c r="D183" s="92" t="s">
        <v>200</v>
      </c>
      <c r="E183" t="s">
        <v>111</v>
      </c>
      <c r="F183" t="s">
        <v>192</v>
      </c>
      <c r="G183" s="2">
        <f ca="1">IF(N46&lt;LookupData!$AA$6,1,0)</f>
        <v>1</v>
      </c>
      <c r="S183" s="2">
        <v>12</v>
      </c>
    </row>
    <row r="184" spans="1:19" x14ac:dyDescent="0.25">
      <c r="A184" s="2">
        <f t="shared" si="543"/>
        <v>5</v>
      </c>
      <c r="B184" s="2">
        <v>18</v>
      </c>
      <c r="C184" s="2" t="s">
        <v>189</v>
      </c>
      <c r="D184" s="92" t="s">
        <v>200</v>
      </c>
      <c r="E184" t="s">
        <v>111</v>
      </c>
      <c r="F184" t="s">
        <v>193</v>
      </c>
      <c r="G184" s="2">
        <f ca="1">IF(N47&lt;LookupData!$AA$6,1,0)</f>
        <v>1</v>
      </c>
      <c r="S184" s="2">
        <v>12</v>
      </c>
    </row>
    <row r="185" spans="1:19" x14ac:dyDescent="0.25">
      <c r="A185" s="2">
        <f t="shared" si="543"/>
        <v>5</v>
      </c>
      <c r="B185" s="2">
        <v>18</v>
      </c>
      <c r="C185" s="2" t="s">
        <v>189</v>
      </c>
      <c r="D185" s="92" t="s">
        <v>200</v>
      </c>
      <c r="E185" t="s">
        <v>111</v>
      </c>
      <c r="F185" t="s">
        <v>194</v>
      </c>
      <c r="G185" s="2">
        <f ca="1">IF(N48&lt;LookupData!$AA$6,1,0)</f>
        <v>0</v>
      </c>
      <c r="S185" s="2">
        <v>12</v>
      </c>
    </row>
    <row r="186" spans="1:19" x14ac:dyDescent="0.25">
      <c r="A186" s="2">
        <f t="shared" si="543"/>
        <v>5</v>
      </c>
      <c r="B186" s="2">
        <v>18</v>
      </c>
      <c r="C186" s="2" t="s">
        <v>189</v>
      </c>
      <c r="D186" s="92" t="s">
        <v>200</v>
      </c>
      <c r="E186" t="s">
        <v>109</v>
      </c>
      <c r="F186" t="s">
        <v>191</v>
      </c>
      <c r="G186" s="2">
        <f ca="1">IF(N53&lt;LookupData!$AA$7,1,0)</f>
        <v>0</v>
      </c>
      <c r="S186" s="2">
        <v>12</v>
      </c>
    </row>
    <row r="187" spans="1:19" x14ac:dyDescent="0.25">
      <c r="A187" s="2">
        <f t="shared" si="543"/>
        <v>5</v>
      </c>
      <c r="B187" s="2">
        <v>18</v>
      </c>
      <c r="C187" s="2" t="s">
        <v>189</v>
      </c>
      <c r="D187" s="92" t="s">
        <v>200</v>
      </c>
      <c r="E187" t="s">
        <v>109</v>
      </c>
      <c r="F187" t="s">
        <v>192</v>
      </c>
      <c r="G187" s="2">
        <f ca="1">IF(N54&lt;LookupData!$AA$7,1,0)</f>
        <v>0</v>
      </c>
      <c r="S187" s="2">
        <v>12</v>
      </c>
    </row>
    <row r="188" spans="1:19" x14ac:dyDescent="0.25">
      <c r="A188" s="2">
        <f t="shared" si="543"/>
        <v>5</v>
      </c>
      <c r="B188" s="2">
        <v>18</v>
      </c>
      <c r="C188" s="2" t="s">
        <v>189</v>
      </c>
      <c r="D188" s="92" t="s">
        <v>200</v>
      </c>
      <c r="E188" t="s">
        <v>109</v>
      </c>
      <c r="F188" t="s">
        <v>193</v>
      </c>
      <c r="G188" s="2">
        <f ca="1">IF(N55&lt;LookupData!$AA$7,1,0)</f>
        <v>0</v>
      </c>
      <c r="S188" s="2">
        <v>12</v>
      </c>
    </row>
    <row r="189" spans="1:19" x14ac:dyDescent="0.25">
      <c r="A189" s="2">
        <f t="shared" si="543"/>
        <v>5</v>
      </c>
      <c r="B189" s="2">
        <v>18</v>
      </c>
      <c r="C189" s="2" t="s">
        <v>189</v>
      </c>
      <c r="D189" s="92" t="s">
        <v>200</v>
      </c>
      <c r="E189" t="s">
        <v>109</v>
      </c>
      <c r="F189" t="s">
        <v>194</v>
      </c>
      <c r="G189" s="2">
        <f ca="1">IF(N56&lt;LookupData!$AA$7,1,0)</f>
        <v>0</v>
      </c>
      <c r="S189" s="2">
        <v>12</v>
      </c>
    </row>
    <row r="190" spans="1:19" x14ac:dyDescent="0.25">
      <c r="A190" s="2">
        <f t="shared" si="543"/>
        <v>5</v>
      </c>
      <c r="B190" s="2">
        <v>18</v>
      </c>
      <c r="C190" s="2" t="s">
        <v>189</v>
      </c>
      <c r="D190" s="92" t="s">
        <v>200</v>
      </c>
      <c r="E190" t="s">
        <v>106</v>
      </c>
      <c r="F190" t="s">
        <v>191</v>
      </c>
      <c r="G190" s="2">
        <f ca="1">IF(N61&lt;LookupData!$AA$8,1,0)</f>
        <v>0</v>
      </c>
      <c r="S190" s="2">
        <v>12</v>
      </c>
    </row>
    <row r="191" spans="1:19" x14ac:dyDescent="0.25">
      <c r="A191" s="2">
        <f t="shared" si="543"/>
        <v>5</v>
      </c>
      <c r="B191" s="2">
        <v>18</v>
      </c>
      <c r="C191" s="2" t="s">
        <v>189</v>
      </c>
      <c r="D191" s="92" t="s">
        <v>200</v>
      </c>
      <c r="E191" t="s">
        <v>106</v>
      </c>
      <c r="F191" t="s">
        <v>192</v>
      </c>
      <c r="G191" s="2">
        <f ca="1">IF(N62&lt;LookupData!$AA$8,1,0)</f>
        <v>0</v>
      </c>
      <c r="S191" s="2">
        <v>12</v>
      </c>
    </row>
    <row r="192" spans="1:19" x14ac:dyDescent="0.25">
      <c r="A192" s="2">
        <f t="shared" si="543"/>
        <v>5</v>
      </c>
      <c r="B192" s="2">
        <v>18</v>
      </c>
      <c r="C192" s="2" t="s">
        <v>189</v>
      </c>
      <c r="D192" s="92" t="s">
        <v>200</v>
      </c>
      <c r="E192" t="s">
        <v>106</v>
      </c>
      <c r="F192" t="s">
        <v>193</v>
      </c>
      <c r="G192" s="2">
        <f ca="1">IF(N63&lt;LookupData!$AA$8,1,0)</f>
        <v>0</v>
      </c>
      <c r="S192" s="2">
        <v>12</v>
      </c>
    </row>
    <row r="193" spans="1:19" x14ac:dyDescent="0.25">
      <c r="A193" s="2">
        <f t="shared" si="543"/>
        <v>5</v>
      </c>
      <c r="B193" s="2">
        <v>18</v>
      </c>
      <c r="C193" s="2" t="s">
        <v>189</v>
      </c>
      <c r="D193" s="92" t="s">
        <v>200</v>
      </c>
      <c r="E193" t="s">
        <v>106</v>
      </c>
      <c r="F193" t="s">
        <v>194</v>
      </c>
      <c r="G193" s="2">
        <f ca="1">IF(N64&lt;LookupData!$AA$8,1,0)</f>
        <v>0</v>
      </c>
      <c r="S193" s="2">
        <v>12</v>
      </c>
    </row>
    <row r="194" spans="1:19" x14ac:dyDescent="0.25">
      <c r="A194" s="2">
        <f t="shared" si="543"/>
        <v>5</v>
      </c>
      <c r="B194" s="2">
        <v>18</v>
      </c>
      <c r="C194" s="2" t="s">
        <v>189</v>
      </c>
      <c r="D194" s="92" t="s">
        <v>200</v>
      </c>
      <c r="E194" t="s">
        <v>107</v>
      </c>
      <c r="F194" t="s">
        <v>191</v>
      </c>
      <c r="G194" s="2">
        <f ca="1">IF(N69&lt;LookupData!$AA$9,1,0)</f>
        <v>0</v>
      </c>
      <c r="S194" s="2">
        <v>12</v>
      </c>
    </row>
    <row r="195" spans="1:19" x14ac:dyDescent="0.25">
      <c r="A195" s="2">
        <f t="shared" si="543"/>
        <v>5</v>
      </c>
      <c r="B195" s="2">
        <v>18</v>
      </c>
      <c r="C195" s="2" t="s">
        <v>189</v>
      </c>
      <c r="D195" s="92" t="s">
        <v>200</v>
      </c>
      <c r="E195" t="s">
        <v>107</v>
      </c>
      <c r="F195" t="s">
        <v>192</v>
      </c>
      <c r="G195" s="2">
        <f ca="1">IF(N70&lt;LookupData!$AA$9,1,0)</f>
        <v>0</v>
      </c>
      <c r="S195" s="2">
        <v>12</v>
      </c>
    </row>
    <row r="196" spans="1:19" x14ac:dyDescent="0.25">
      <c r="A196" s="2">
        <f t="shared" si="543"/>
        <v>5</v>
      </c>
      <c r="B196" s="2">
        <v>18</v>
      </c>
      <c r="C196" s="2" t="s">
        <v>189</v>
      </c>
      <c r="D196" s="92" t="s">
        <v>200</v>
      </c>
      <c r="E196" t="s">
        <v>107</v>
      </c>
      <c r="F196" t="s">
        <v>193</v>
      </c>
      <c r="G196" s="2">
        <f ca="1">IF(N71&lt;LookupData!$AA$9,1,0)</f>
        <v>0</v>
      </c>
      <c r="S196" s="2">
        <v>12</v>
      </c>
    </row>
    <row r="197" spans="1:19" x14ac:dyDescent="0.25">
      <c r="A197" s="2">
        <f t="shared" si="543"/>
        <v>5</v>
      </c>
      <c r="B197" s="2">
        <v>18</v>
      </c>
      <c r="C197" s="2" t="s">
        <v>189</v>
      </c>
      <c r="D197" s="92" t="s">
        <v>200</v>
      </c>
      <c r="E197" t="s">
        <v>107</v>
      </c>
      <c r="F197" t="s">
        <v>194</v>
      </c>
      <c r="G197" s="2">
        <f ca="1">IF(N72&lt;LookupData!$AA$9,1,0)</f>
        <v>0</v>
      </c>
      <c r="S197" s="2">
        <v>12</v>
      </c>
    </row>
    <row r="198" spans="1:19" x14ac:dyDescent="0.25">
      <c r="A198" s="2">
        <f t="shared" si="543"/>
        <v>5</v>
      </c>
      <c r="B198" s="2">
        <v>18</v>
      </c>
      <c r="C198" s="2" t="s">
        <v>189</v>
      </c>
      <c r="D198" s="92" t="s">
        <v>200</v>
      </c>
      <c r="E198" t="s">
        <v>110</v>
      </c>
      <c r="F198" t="s">
        <v>191</v>
      </c>
      <c r="G198" s="2">
        <f ca="1">IF(N77&lt;LookupData!$AA$10,1,0)</f>
        <v>1</v>
      </c>
      <c r="S198" s="2">
        <v>12</v>
      </c>
    </row>
    <row r="199" spans="1:19" x14ac:dyDescent="0.25">
      <c r="A199" s="2">
        <f t="shared" si="543"/>
        <v>5</v>
      </c>
      <c r="B199" s="2">
        <v>18</v>
      </c>
      <c r="C199" s="2" t="s">
        <v>189</v>
      </c>
      <c r="D199" s="92" t="s">
        <v>200</v>
      </c>
      <c r="E199" t="s">
        <v>110</v>
      </c>
      <c r="F199" t="s">
        <v>192</v>
      </c>
      <c r="G199" s="2">
        <f ca="1">IF(N78&lt;LookupData!$AA$10,1,0)</f>
        <v>1</v>
      </c>
      <c r="S199" s="2">
        <v>12</v>
      </c>
    </row>
    <row r="200" spans="1:19" x14ac:dyDescent="0.25">
      <c r="A200" s="2">
        <f t="shared" si="543"/>
        <v>5</v>
      </c>
      <c r="B200" s="2">
        <v>18</v>
      </c>
      <c r="C200" s="2" t="s">
        <v>189</v>
      </c>
      <c r="D200" s="92" t="s">
        <v>200</v>
      </c>
      <c r="E200" t="s">
        <v>110</v>
      </c>
      <c r="F200" t="s">
        <v>193</v>
      </c>
      <c r="G200" s="2">
        <f ca="1">IF(N79&lt;LookupData!$AA$10,1,0)</f>
        <v>1</v>
      </c>
      <c r="S200" s="2">
        <v>12</v>
      </c>
    </row>
    <row r="201" spans="1:19" x14ac:dyDescent="0.25">
      <c r="A201" s="2">
        <f t="shared" si="543"/>
        <v>5</v>
      </c>
      <c r="B201" s="2">
        <v>18</v>
      </c>
      <c r="C201" s="2" t="s">
        <v>189</v>
      </c>
      <c r="D201" s="92" t="s">
        <v>200</v>
      </c>
      <c r="E201" t="s">
        <v>110</v>
      </c>
      <c r="F201" t="s">
        <v>194</v>
      </c>
      <c r="G201" s="2">
        <f ca="1">IF(N80&lt;LookupData!$AA$10,1,0)</f>
        <v>0</v>
      </c>
      <c r="S201" s="2">
        <v>12</v>
      </c>
    </row>
    <row r="202" spans="1:19" x14ac:dyDescent="0.25">
      <c r="A202" s="2">
        <f t="shared" si="543"/>
        <v>5</v>
      </c>
      <c r="B202" s="2">
        <v>18</v>
      </c>
      <c r="C202" s="2" t="s">
        <v>189</v>
      </c>
      <c r="D202" s="92" t="s">
        <v>200</v>
      </c>
      <c r="E202" t="s">
        <v>108</v>
      </c>
      <c r="F202" t="s">
        <v>191</v>
      </c>
      <c r="G202" s="2">
        <f ca="1">IF(N85&lt;LookupData!$AA$11,1,0)</f>
        <v>0</v>
      </c>
      <c r="S202" s="2">
        <v>12</v>
      </c>
    </row>
    <row r="203" spans="1:19" x14ac:dyDescent="0.25">
      <c r="A203" s="2">
        <f t="shared" si="543"/>
        <v>5</v>
      </c>
      <c r="B203" s="2">
        <v>18</v>
      </c>
      <c r="C203" s="2" t="s">
        <v>189</v>
      </c>
      <c r="D203" s="92" t="s">
        <v>200</v>
      </c>
      <c r="E203" t="s">
        <v>108</v>
      </c>
      <c r="F203" t="s">
        <v>192</v>
      </c>
      <c r="G203" s="2">
        <f ca="1">IF(N86&lt;LookupData!$AA$11,1,0)</f>
        <v>0</v>
      </c>
      <c r="S203" s="2">
        <v>12</v>
      </c>
    </row>
    <row r="204" spans="1:19" x14ac:dyDescent="0.25">
      <c r="A204" s="2">
        <f t="shared" si="543"/>
        <v>5</v>
      </c>
      <c r="B204" s="2">
        <v>18</v>
      </c>
      <c r="C204" s="2" t="s">
        <v>189</v>
      </c>
      <c r="D204" s="92" t="s">
        <v>200</v>
      </c>
      <c r="E204" t="s">
        <v>108</v>
      </c>
      <c r="F204" t="s">
        <v>193</v>
      </c>
      <c r="G204" s="2">
        <f ca="1">IF(N87&lt;LookupData!$AA$11,1,0)</f>
        <v>0</v>
      </c>
      <c r="S204" s="2">
        <v>12</v>
      </c>
    </row>
    <row r="205" spans="1:19" x14ac:dyDescent="0.25">
      <c r="A205" s="2">
        <f t="shared" si="543"/>
        <v>5</v>
      </c>
      <c r="B205" s="2">
        <v>18</v>
      </c>
      <c r="C205" s="2" t="s">
        <v>189</v>
      </c>
      <c r="D205" s="92" t="s">
        <v>200</v>
      </c>
      <c r="E205" t="s">
        <v>108</v>
      </c>
      <c r="F205" t="s">
        <v>194</v>
      </c>
      <c r="G205" s="2">
        <f ca="1">IF(N88&lt;LookupData!$AA$11,1,0)</f>
        <v>0</v>
      </c>
      <c r="S205" s="2">
        <v>12</v>
      </c>
    </row>
    <row r="206" spans="1:19" x14ac:dyDescent="0.25">
      <c r="A206" s="2">
        <f t="shared" si="543"/>
        <v>5</v>
      </c>
      <c r="B206" s="2">
        <v>18</v>
      </c>
      <c r="C206" s="2" t="s">
        <v>189</v>
      </c>
      <c r="D206" s="92" t="s">
        <v>200</v>
      </c>
      <c r="E206" t="s">
        <v>70</v>
      </c>
      <c r="F206" t="s">
        <v>191</v>
      </c>
      <c r="G206" s="2">
        <f ca="1">IF(N93&lt;LookupData!$AA$12,1,0)</f>
        <v>0</v>
      </c>
      <c r="S206" s="2">
        <v>12</v>
      </c>
    </row>
    <row r="207" spans="1:19" x14ac:dyDescent="0.25">
      <c r="A207" s="2">
        <f t="shared" si="543"/>
        <v>5</v>
      </c>
      <c r="B207" s="2">
        <v>18</v>
      </c>
      <c r="C207" s="2" t="s">
        <v>189</v>
      </c>
      <c r="D207" s="92" t="s">
        <v>200</v>
      </c>
      <c r="E207" t="s">
        <v>70</v>
      </c>
      <c r="F207" t="s">
        <v>192</v>
      </c>
      <c r="G207" s="2">
        <f ca="1">IF(N94&lt;LookupData!$AA$12,1,0)</f>
        <v>0</v>
      </c>
      <c r="S207" s="2">
        <v>12</v>
      </c>
    </row>
    <row r="208" spans="1:19" x14ac:dyDescent="0.25">
      <c r="A208" s="2">
        <f t="shared" si="543"/>
        <v>5</v>
      </c>
      <c r="B208" s="2">
        <v>18</v>
      </c>
      <c r="C208" s="2" t="s">
        <v>189</v>
      </c>
      <c r="D208" s="92" t="s">
        <v>200</v>
      </c>
      <c r="E208" t="s">
        <v>70</v>
      </c>
      <c r="F208" t="s">
        <v>193</v>
      </c>
      <c r="G208" s="2">
        <f ca="1">IF(N95&lt;LookupData!$AA$12,1,0)</f>
        <v>0</v>
      </c>
      <c r="S208" s="2">
        <v>12</v>
      </c>
    </row>
    <row r="209" spans="1:19" x14ac:dyDescent="0.25">
      <c r="A209" s="2">
        <f t="shared" si="543"/>
        <v>5</v>
      </c>
      <c r="B209" s="2">
        <v>18</v>
      </c>
      <c r="C209" s="2" t="s">
        <v>189</v>
      </c>
      <c r="D209" s="92" t="s">
        <v>200</v>
      </c>
      <c r="E209" t="s">
        <v>70</v>
      </c>
      <c r="F209" t="s">
        <v>194</v>
      </c>
      <c r="G209" s="2">
        <f ca="1">IF(N96&lt;LookupData!$AA$12,1,0)</f>
        <v>0</v>
      </c>
      <c r="S209" s="2">
        <v>12</v>
      </c>
    </row>
    <row r="210" spans="1:19" x14ac:dyDescent="0.25">
      <c r="A210" s="91" t="s">
        <v>71</v>
      </c>
      <c r="B210" s="91" t="s">
        <v>90</v>
      </c>
      <c r="C210" s="91" t="s">
        <v>122</v>
      </c>
      <c r="D210" s="91" t="s">
        <v>123</v>
      </c>
      <c r="E210" s="91" t="s">
        <v>124</v>
      </c>
      <c r="F210" s="91" t="s">
        <v>125</v>
      </c>
      <c r="G210" s="91" t="s">
        <v>103</v>
      </c>
    </row>
    <row r="211" spans="1:19" x14ac:dyDescent="0.25">
      <c r="A211" s="92">
        <f t="shared" ref="A211:A220" si="544">A$21</f>
        <v>5</v>
      </c>
      <c r="B211" s="92">
        <v>18</v>
      </c>
      <c r="C211" s="92" t="s">
        <v>204</v>
      </c>
      <c r="D211" t="s">
        <v>104</v>
      </c>
      <c r="E211" s="93">
        <f ca="1">INDIRECT("'"&amp;$D211&amp;"'!$M$33")</f>
        <v>0</v>
      </c>
      <c r="F211" s="92"/>
      <c r="G211" s="92">
        <v>12</v>
      </c>
    </row>
    <row r="212" spans="1:19" x14ac:dyDescent="0.25">
      <c r="A212" s="92">
        <f t="shared" si="544"/>
        <v>5</v>
      </c>
      <c r="B212" s="92">
        <v>18</v>
      </c>
      <c r="C212" s="92" t="s">
        <v>205</v>
      </c>
      <c r="D212" t="s">
        <v>104</v>
      </c>
      <c r="E212" s="93">
        <f ca="1">INDIRECT("'"&amp;$D212&amp;"'!$M$36")</f>
        <v>0</v>
      </c>
      <c r="F212" s="92"/>
      <c r="G212" s="92">
        <v>12</v>
      </c>
    </row>
    <row r="213" spans="1:19" x14ac:dyDescent="0.25">
      <c r="A213" s="92">
        <f t="shared" si="544"/>
        <v>5</v>
      </c>
      <c r="B213" s="92">
        <v>18</v>
      </c>
      <c r="C213" s="92" t="s">
        <v>206</v>
      </c>
      <c r="D213" t="s">
        <v>104</v>
      </c>
      <c r="E213" s="93">
        <f ca="1">INDIRECT("'"&amp;$D213&amp;"'!$M$39")</f>
        <v>0</v>
      </c>
      <c r="F213" s="92"/>
      <c r="G213" s="92">
        <v>12</v>
      </c>
    </row>
    <row r="214" spans="1:19" x14ac:dyDescent="0.25">
      <c r="A214" s="92">
        <f t="shared" si="544"/>
        <v>5</v>
      </c>
      <c r="B214" s="92">
        <v>18</v>
      </c>
      <c r="C214" s="92" t="s">
        <v>207</v>
      </c>
      <c r="D214" t="s">
        <v>104</v>
      </c>
      <c r="E214" s="93">
        <f ca="1">INDIRECT("'"&amp;$D214&amp;"'!$M$42")</f>
        <v>0</v>
      </c>
      <c r="F214" s="92"/>
      <c r="G214" s="92">
        <v>12</v>
      </c>
    </row>
    <row r="215" spans="1:19" x14ac:dyDescent="0.25">
      <c r="A215" s="92">
        <f t="shared" si="544"/>
        <v>5</v>
      </c>
      <c r="B215" s="92">
        <v>18</v>
      </c>
      <c r="C215" s="92" t="s">
        <v>204</v>
      </c>
      <c r="D215" t="s">
        <v>105</v>
      </c>
      <c r="E215" s="93">
        <f ca="1">INDIRECT("'"&amp;$D215&amp;"'!$M$33")</f>
        <v>0</v>
      </c>
      <c r="F215" s="92"/>
      <c r="G215" s="92">
        <v>12</v>
      </c>
    </row>
    <row r="216" spans="1:19" x14ac:dyDescent="0.25">
      <c r="A216" s="92">
        <f t="shared" si="544"/>
        <v>5</v>
      </c>
      <c r="B216" s="92">
        <v>18</v>
      </c>
      <c r="C216" s="92" t="s">
        <v>205</v>
      </c>
      <c r="D216" t="s">
        <v>105</v>
      </c>
      <c r="E216" s="93">
        <f ca="1">INDIRECT("'"&amp;$D216&amp;"'!$M$36")</f>
        <v>0</v>
      </c>
      <c r="F216" s="92"/>
      <c r="G216" s="92">
        <v>12</v>
      </c>
    </row>
    <row r="217" spans="1:19" x14ac:dyDescent="0.25">
      <c r="A217" s="92">
        <f t="shared" si="544"/>
        <v>5</v>
      </c>
      <c r="B217" s="92">
        <v>18</v>
      </c>
      <c r="C217" s="92" t="s">
        <v>206</v>
      </c>
      <c r="D217" t="s">
        <v>105</v>
      </c>
      <c r="E217" s="93">
        <f ca="1">INDIRECT("'"&amp;$D217&amp;"'!$M$39")</f>
        <v>0</v>
      </c>
      <c r="F217" s="92"/>
      <c r="G217" s="92">
        <v>12</v>
      </c>
    </row>
    <row r="218" spans="1:19" x14ac:dyDescent="0.25">
      <c r="A218" s="92">
        <f t="shared" si="544"/>
        <v>5</v>
      </c>
      <c r="B218" s="92">
        <v>18</v>
      </c>
      <c r="C218" s="92" t="s">
        <v>207</v>
      </c>
      <c r="D218" t="s">
        <v>105</v>
      </c>
      <c r="E218" s="93">
        <f ca="1">INDIRECT("'"&amp;$D218&amp;"'!$M$42")</f>
        <v>0</v>
      </c>
      <c r="F218" s="92"/>
      <c r="G218" s="92">
        <v>12</v>
      </c>
    </row>
    <row r="219" spans="1:19" x14ac:dyDescent="0.25">
      <c r="A219" s="92">
        <f t="shared" si="544"/>
        <v>5</v>
      </c>
      <c r="B219" s="92">
        <v>18</v>
      </c>
      <c r="C219" s="92" t="s">
        <v>204</v>
      </c>
      <c r="D219" t="s">
        <v>111</v>
      </c>
      <c r="E219" s="93">
        <f ca="1">INDIRECT("'"&amp;$D219&amp;"'!$M$33")</f>
        <v>0</v>
      </c>
      <c r="F219" s="92"/>
      <c r="G219" s="92">
        <v>12</v>
      </c>
    </row>
    <row r="220" spans="1:19" x14ac:dyDescent="0.25">
      <c r="A220" s="92">
        <f t="shared" si="544"/>
        <v>5</v>
      </c>
      <c r="B220" s="92">
        <v>18</v>
      </c>
      <c r="C220" s="92" t="s">
        <v>205</v>
      </c>
      <c r="D220" t="s">
        <v>111</v>
      </c>
      <c r="E220" s="93">
        <f ca="1">INDIRECT("'"&amp;$D220&amp;"'!$M$36")</f>
        <v>0</v>
      </c>
      <c r="F220" s="92"/>
      <c r="G220" s="92">
        <v>12</v>
      </c>
    </row>
    <row r="221" spans="1:19" x14ac:dyDescent="0.25">
      <c r="C221" s="92" t="s">
        <v>206</v>
      </c>
      <c r="D221" t="s">
        <v>111</v>
      </c>
      <c r="E221" s="93">
        <f ca="1">INDIRECT("'"&amp;$D221&amp;"'!$M$39")</f>
        <v>0</v>
      </c>
      <c r="G221" s="92">
        <v>12</v>
      </c>
    </row>
    <row r="222" spans="1:19" x14ac:dyDescent="0.25">
      <c r="C222" s="92" t="s">
        <v>207</v>
      </c>
      <c r="D222" t="s">
        <v>111</v>
      </c>
      <c r="E222" s="93">
        <f ca="1">INDIRECT("'"&amp;$D222&amp;"'!$M$42")</f>
        <v>0</v>
      </c>
      <c r="G222" s="92">
        <v>12</v>
      </c>
    </row>
    <row r="223" spans="1:19" x14ac:dyDescent="0.25">
      <c r="C223" s="92" t="s">
        <v>204</v>
      </c>
      <c r="D223" t="s">
        <v>109</v>
      </c>
      <c r="E223" s="93">
        <f ca="1">INDIRECT("'"&amp;$D223&amp;"'!$M$33")</f>
        <v>0</v>
      </c>
      <c r="G223" s="92">
        <v>12</v>
      </c>
    </row>
    <row r="224" spans="1:19" x14ac:dyDescent="0.25">
      <c r="C224" s="92" t="s">
        <v>205</v>
      </c>
      <c r="D224" t="s">
        <v>109</v>
      </c>
      <c r="E224" s="93">
        <f ca="1">INDIRECT("'"&amp;$D224&amp;"'!$M$36")</f>
        <v>0</v>
      </c>
      <c r="G224" s="92">
        <v>12</v>
      </c>
    </row>
    <row r="225" spans="3:7" x14ac:dyDescent="0.25">
      <c r="C225" s="92" t="s">
        <v>206</v>
      </c>
      <c r="D225" t="s">
        <v>109</v>
      </c>
      <c r="E225" s="93">
        <f ca="1">INDIRECT("'"&amp;$D225&amp;"'!$M$39")</f>
        <v>0</v>
      </c>
      <c r="G225" s="92">
        <v>12</v>
      </c>
    </row>
    <row r="226" spans="3:7" x14ac:dyDescent="0.25">
      <c r="C226" s="92" t="s">
        <v>207</v>
      </c>
      <c r="D226" t="s">
        <v>109</v>
      </c>
      <c r="E226" s="93">
        <f ca="1">INDIRECT("'"&amp;$D226&amp;"'!$M$42")</f>
        <v>0</v>
      </c>
      <c r="G226" s="92">
        <v>12</v>
      </c>
    </row>
    <row r="227" spans="3:7" x14ac:dyDescent="0.25">
      <c r="C227" s="92" t="s">
        <v>204</v>
      </c>
      <c r="D227" t="s">
        <v>106</v>
      </c>
      <c r="E227" s="93">
        <f ca="1">INDIRECT("'"&amp;$D227&amp;"'!$M$33")</f>
        <v>0</v>
      </c>
      <c r="G227" s="92">
        <v>12</v>
      </c>
    </row>
    <row r="228" spans="3:7" x14ac:dyDescent="0.25">
      <c r="C228" s="92" t="s">
        <v>205</v>
      </c>
      <c r="D228" t="s">
        <v>106</v>
      </c>
      <c r="E228" s="93">
        <f ca="1">INDIRECT("'"&amp;$D228&amp;"'!$M$36")</f>
        <v>0</v>
      </c>
      <c r="G228" s="92">
        <v>12</v>
      </c>
    </row>
    <row r="229" spans="3:7" x14ac:dyDescent="0.25">
      <c r="C229" s="92" t="s">
        <v>206</v>
      </c>
      <c r="D229" t="s">
        <v>106</v>
      </c>
      <c r="E229" s="93">
        <f ca="1">INDIRECT("'"&amp;$D229&amp;"'!$M$39")</f>
        <v>0</v>
      </c>
      <c r="G229" s="92">
        <v>12</v>
      </c>
    </row>
    <row r="230" spans="3:7" x14ac:dyDescent="0.25">
      <c r="C230" s="92" t="s">
        <v>207</v>
      </c>
      <c r="D230" t="s">
        <v>106</v>
      </c>
      <c r="E230" s="93">
        <f ca="1">INDIRECT("'"&amp;$D230&amp;"'!$M$42")</f>
        <v>0</v>
      </c>
      <c r="G230" s="92">
        <v>12</v>
      </c>
    </row>
    <row r="231" spans="3:7" x14ac:dyDescent="0.25">
      <c r="C231" s="92" t="s">
        <v>204</v>
      </c>
      <c r="D231" t="s">
        <v>107</v>
      </c>
      <c r="E231" s="93">
        <f ca="1">INDIRECT("'"&amp;$D231&amp;"'!$M$33")</f>
        <v>0</v>
      </c>
      <c r="G231" s="92">
        <v>12</v>
      </c>
    </row>
    <row r="232" spans="3:7" x14ac:dyDescent="0.25">
      <c r="C232" s="92" t="s">
        <v>205</v>
      </c>
      <c r="D232" t="s">
        <v>107</v>
      </c>
      <c r="E232" s="93">
        <f ca="1">INDIRECT("'"&amp;$D232&amp;"'!$M$36")</f>
        <v>0</v>
      </c>
      <c r="G232" s="92">
        <v>12</v>
      </c>
    </row>
    <row r="233" spans="3:7" x14ac:dyDescent="0.25">
      <c r="C233" s="92" t="s">
        <v>206</v>
      </c>
      <c r="D233" t="s">
        <v>107</v>
      </c>
      <c r="E233" s="93">
        <f ca="1">INDIRECT("'"&amp;$D233&amp;"'!$M$39")</f>
        <v>0</v>
      </c>
      <c r="G233" s="92">
        <v>12</v>
      </c>
    </row>
    <row r="234" spans="3:7" x14ac:dyDescent="0.25">
      <c r="C234" s="92" t="s">
        <v>207</v>
      </c>
      <c r="D234" t="s">
        <v>107</v>
      </c>
      <c r="E234" s="93">
        <f ca="1">INDIRECT("'"&amp;$D234&amp;"'!$M$42")</f>
        <v>0</v>
      </c>
      <c r="G234" s="92">
        <v>12</v>
      </c>
    </row>
    <row r="235" spans="3:7" x14ac:dyDescent="0.25">
      <c r="C235" s="92" t="s">
        <v>204</v>
      </c>
      <c r="D235" t="s">
        <v>110</v>
      </c>
      <c r="E235" s="93">
        <f ca="1">INDIRECT("'"&amp;$D235&amp;"'!$M$33")</f>
        <v>0</v>
      </c>
      <c r="G235" s="92">
        <v>12</v>
      </c>
    </row>
    <row r="236" spans="3:7" x14ac:dyDescent="0.25">
      <c r="C236" s="92" t="s">
        <v>205</v>
      </c>
      <c r="D236" t="s">
        <v>110</v>
      </c>
      <c r="E236" s="93">
        <f ca="1">INDIRECT("'"&amp;$D236&amp;"'!$M$36")</f>
        <v>0</v>
      </c>
      <c r="G236" s="92">
        <v>12</v>
      </c>
    </row>
    <row r="237" spans="3:7" x14ac:dyDescent="0.25">
      <c r="C237" s="92" t="s">
        <v>206</v>
      </c>
      <c r="D237" t="s">
        <v>110</v>
      </c>
      <c r="E237" s="93">
        <f ca="1">INDIRECT("'"&amp;$D237&amp;"'!$M$39")</f>
        <v>0</v>
      </c>
      <c r="G237" s="92">
        <v>12</v>
      </c>
    </row>
    <row r="238" spans="3:7" x14ac:dyDescent="0.25">
      <c r="C238" s="92" t="s">
        <v>207</v>
      </c>
      <c r="D238" t="s">
        <v>110</v>
      </c>
      <c r="E238" s="93">
        <f ca="1">INDIRECT("'"&amp;$D238&amp;"'!$M$42")</f>
        <v>0</v>
      </c>
      <c r="G238" s="92">
        <v>12</v>
      </c>
    </row>
    <row r="239" spans="3:7" x14ac:dyDescent="0.25">
      <c r="C239" s="92" t="s">
        <v>204</v>
      </c>
      <c r="D239" t="s">
        <v>108</v>
      </c>
      <c r="E239" s="93">
        <f ca="1">INDIRECT("'"&amp;$D239&amp;"'!$M$33")</f>
        <v>0</v>
      </c>
      <c r="G239" s="92">
        <v>12</v>
      </c>
    </row>
    <row r="240" spans="3:7" x14ac:dyDescent="0.25">
      <c r="C240" s="92" t="s">
        <v>205</v>
      </c>
      <c r="D240" t="s">
        <v>108</v>
      </c>
      <c r="E240" s="93">
        <f ca="1">INDIRECT("'"&amp;$D240&amp;"'!$M$36")</f>
        <v>0</v>
      </c>
      <c r="G240" s="92">
        <v>12</v>
      </c>
    </row>
    <row r="241" spans="3:7" x14ac:dyDescent="0.25">
      <c r="C241" s="92" t="s">
        <v>206</v>
      </c>
      <c r="D241" t="s">
        <v>108</v>
      </c>
      <c r="E241" s="93">
        <f ca="1">INDIRECT("'"&amp;$D241&amp;"'!$M$39")</f>
        <v>0</v>
      </c>
      <c r="G241" s="92">
        <v>12</v>
      </c>
    </row>
    <row r="242" spans="3:7" x14ac:dyDescent="0.25">
      <c r="C242" s="92" t="s">
        <v>207</v>
      </c>
      <c r="D242" t="s">
        <v>108</v>
      </c>
      <c r="E242" s="93">
        <f ca="1">INDIRECT("'"&amp;$D242&amp;"'!$M$42")</f>
        <v>0</v>
      </c>
      <c r="G242" s="92">
        <v>12</v>
      </c>
    </row>
    <row r="243" spans="3:7" x14ac:dyDescent="0.25">
      <c r="C243" s="92" t="s">
        <v>204</v>
      </c>
      <c r="D243" t="s">
        <v>70</v>
      </c>
      <c r="E243" s="93">
        <f ca="1">INDIRECT("'"&amp;$D243&amp;"'!$M$33")</f>
        <v>0</v>
      </c>
      <c r="G243" s="92">
        <v>12</v>
      </c>
    </row>
    <row r="244" spans="3:7" x14ac:dyDescent="0.25">
      <c r="C244" s="92" t="s">
        <v>205</v>
      </c>
      <c r="D244" t="s">
        <v>70</v>
      </c>
      <c r="E244" s="93">
        <f ca="1">INDIRECT("'"&amp;$D244&amp;"'!$M$36")</f>
        <v>0</v>
      </c>
      <c r="G244" s="92">
        <v>12</v>
      </c>
    </row>
    <row r="245" spans="3:7" x14ac:dyDescent="0.25">
      <c r="C245" s="92" t="s">
        <v>206</v>
      </c>
      <c r="D245" t="s">
        <v>70</v>
      </c>
      <c r="E245" s="93">
        <f ca="1">INDIRECT("'"&amp;$D245&amp;"'!$M$39")</f>
        <v>0</v>
      </c>
      <c r="G245" s="92">
        <v>12</v>
      </c>
    </row>
    <row r="246" spans="3:7" x14ac:dyDescent="0.25">
      <c r="C246" s="92" t="s">
        <v>207</v>
      </c>
      <c r="D246" t="s">
        <v>70</v>
      </c>
      <c r="E246" s="93">
        <f ca="1">INDIRECT("'"&amp;$D246&amp;"'!$M$42")</f>
        <v>0</v>
      </c>
      <c r="G246" s="92">
        <v>12</v>
      </c>
    </row>
  </sheetData>
  <sortState ref="E102:I153">
    <sortCondition ref="I102:I153"/>
    <sortCondition ref="H102:H1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5" zoomScale="85" zoomScaleNormal="85" zoomScaleSheetLayoutView="75" zoomScalePageLayoutView="75" workbookViewId="0">
      <selection activeCell="L25" sqref="L2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hidden="1" customWidth="1"/>
    <col min="14" max="14" width="20.85546875" style="6" hidden="1"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3: Apr - Jun</v>
      </c>
      <c r="I4"/>
      <c r="K4" s="121" t="str">
        <f>'Circuit Criminal'!N4</f>
        <v>CCOC Form Version 2
Revised 1/18/19</v>
      </c>
      <c r="L4" s="121"/>
    </row>
    <row r="5" spans="1:14" ht="24" customHeight="1" thickBot="1" x14ac:dyDescent="0.25">
      <c r="A5" s="8"/>
      <c r="C5" s="32" t="s">
        <v>68</v>
      </c>
      <c r="D5" s="112" t="str">
        <f>'Circuit Criminal'!D5</f>
        <v>Michelle Levar</v>
      </c>
      <c r="E5" s="112"/>
      <c r="F5" s="9"/>
      <c r="K5" s="122"/>
      <c r="L5" s="122"/>
    </row>
    <row r="6" spans="1:14" ht="24" customHeight="1" x14ac:dyDescent="0.2">
      <c r="A6" s="8"/>
      <c r="C6" s="32" t="s">
        <v>69</v>
      </c>
      <c r="D6" s="111" t="str">
        <f>'Circuit Criminal'!D6</f>
        <v>michell.levar@brevardclerk.us</v>
      </c>
      <c r="E6" s="111"/>
      <c r="F6" s="9"/>
      <c r="G6" s="32" t="s">
        <v>1</v>
      </c>
      <c r="H6" s="79">
        <f>'Circuit Criminal'!L4</f>
        <v>2</v>
      </c>
      <c r="J6" s="199" t="s">
        <v>219</v>
      </c>
      <c r="K6" s="200"/>
      <c r="L6" s="201"/>
      <c r="M6"/>
    </row>
    <row r="7" spans="1:14" ht="24" customHeight="1" thickBot="1" x14ac:dyDescent="0.25">
      <c r="A7" s="8"/>
      <c r="I7"/>
      <c r="J7" s="202"/>
      <c r="K7" s="203"/>
      <c r="L7" s="204"/>
      <c r="M7"/>
    </row>
    <row r="8" spans="1:14" ht="24" customHeight="1" thickTop="1" thickBot="1" x14ac:dyDescent="0.25">
      <c r="A8" s="127" t="s">
        <v>136</v>
      </c>
      <c r="B8" s="127"/>
      <c r="C8" s="128"/>
      <c r="D8" s="29" t="str">
        <f ca="1">MID(CELL("filename",A1),FIND("]",CELL("filename",A1))+1,255)</f>
        <v>Drug Trafficking</v>
      </c>
      <c r="E8" s="10"/>
      <c r="F8" s="208" t="s">
        <v>137</v>
      </c>
      <c r="G8" s="208"/>
      <c r="H8" s="80">
        <f ca="1">INDEX(LookupData!AA3:AA12,MATCH(D8,LookupData!Z3:Z12,0))</f>
        <v>0</v>
      </c>
      <c r="I8"/>
      <c r="J8" s="202"/>
      <c r="K8" s="203"/>
      <c r="L8" s="204"/>
      <c r="M8"/>
    </row>
    <row r="9" spans="1:14" ht="19.5" customHeight="1" thickTop="1" thickBot="1" x14ac:dyDescent="0.25">
      <c r="A9" s="8"/>
      <c r="D9" s="8"/>
      <c r="E9" s="8"/>
      <c r="I9"/>
      <c r="J9" s="205"/>
      <c r="K9" s="206"/>
      <c r="L9" s="207"/>
    </row>
    <row r="10" spans="1:14" ht="25.5" customHeight="1" thickBot="1" x14ac:dyDescent="0.25">
      <c r="D10" s="1"/>
      <c r="F10" s="99"/>
      <c r="G10" s="99"/>
      <c r="H10" s="99"/>
      <c r="I10" s="99"/>
      <c r="J10" s="99"/>
      <c r="K10" s="99"/>
      <c r="L10" s="100"/>
      <c r="M10" s="194" t="s">
        <v>183</v>
      </c>
      <c r="N10" s="195"/>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209" t="s">
        <v>184</v>
      </c>
      <c r="N11" s="210"/>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96"/>
      <c r="M12" s="211"/>
      <c r="N12" s="212"/>
    </row>
    <row r="13" spans="1:14" ht="19.5" customHeight="1" x14ac:dyDescent="0.2">
      <c r="A13" s="115"/>
      <c r="B13" s="116"/>
      <c r="C13" s="131" t="s">
        <v>150</v>
      </c>
      <c r="D13" s="132"/>
      <c r="E13" s="52">
        <v>181</v>
      </c>
      <c r="F13" s="53">
        <v>216</v>
      </c>
      <c r="G13" s="53">
        <v>216</v>
      </c>
      <c r="H13" s="53">
        <v>416</v>
      </c>
      <c r="I13" s="43">
        <v>416</v>
      </c>
      <c r="J13" s="134"/>
      <c r="K13" s="134"/>
      <c r="L13" s="197"/>
      <c r="M13" s="96" t="s">
        <v>185</v>
      </c>
      <c r="N13" s="81">
        <f>'Circuit Criminal'!I13-'Drug Trafficking'!I13</f>
        <v>129627.32</v>
      </c>
    </row>
    <row r="14" spans="1:14" ht="19.5" customHeight="1" thickBot="1" x14ac:dyDescent="0.25">
      <c r="A14" s="115"/>
      <c r="B14" s="116"/>
      <c r="C14" s="131" t="s">
        <v>151</v>
      </c>
      <c r="D14" s="132"/>
      <c r="E14" s="54">
        <v>108183</v>
      </c>
      <c r="F14" s="55">
        <v>108183</v>
      </c>
      <c r="G14" s="55">
        <v>108183</v>
      </c>
      <c r="H14" s="55">
        <v>108183</v>
      </c>
      <c r="I14" s="44">
        <v>108183</v>
      </c>
      <c r="J14" s="134"/>
      <c r="K14" s="134"/>
      <c r="L14" s="197"/>
      <c r="M14" s="97" t="s">
        <v>186</v>
      </c>
      <c r="N14" s="82">
        <f>'Circuit Criminal'!I14-'Drug Trafficking'!I14</f>
        <v>753212.19</v>
      </c>
    </row>
    <row r="15" spans="1:14" ht="19.5" customHeight="1" thickTop="1" thickBot="1" x14ac:dyDescent="0.25">
      <c r="A15" s="117"/>
      <c r="B15" s="118"/>
      <c r="C15" s="131" t="s">
        <v>152</v>
      </c>
      <c r="D15" s="132"/>
      <c r="E15" s="71">
        <f>IFERROR(IF(E14=0,1,ROUND(E13/E14,4)),0)</f>
        <v>1.6999999999999999E-3</v>
      </c>
      <c r="F15" s="77">
        <f t="shared" ref="F15:I15" si="0">IFERROR(IF(F14=0,1,ROUND(F13/F14,4)),0)</f>
        <v>2E-3</v>
      </c>
      <c r="G15" s="77">
        <f t="shared" si="0"/>
        <v>2E-3</v>
      </c>
      <c r="H15" s="77">
        <f t="shared" si="0"/>
        <v>3.8E-3</v>
      </c>
      <c r="I15" s="78">
        <f t="shared" si="0"/>
        <v>3.8E-3</v>
      </c>
      <c r="J15" s="134"/>
      <c r="K15" s="134"/>
      <c r="L15" s="197"/>
      <c r="M15" s="86" t="s">
        <v>187</v>
      </c>
      <c r="N15" s="83">
        <f>IFERROR(N13/N14,1)</f>
        <v>0.17209933896582319</v>
      </c>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87"/>
      <c r="N16" s="84"/>
    </row>
    <row r="17" spans="1:16" ht="20.25" customHeight="1" x14ac:dyDescent="0.2">
      <c r="A17" s="139"/>
      <c r="B17" s="140"/>
      <c r="C17" s="131" t="s">
        <v>150</v>
      </c>
      <c r="D17" s="132"/>
      <c r="E17" s="155"/>
      <c r="F17" s="52">
        <f ca="1">SUMIFS(LookupData!I$3:I$2682,LookupData!$A$3:$A$2682,$D$4,LookupData!$B$3:$B$2682,$D$8,LookupData!$C$3:$C$2682,$A16)</f>
        <v>794</v>
      </c>
      <c r="G17" s="53">
        <f ca="1">SUMIFS(LookupData!J$3:J$2682,LookupData!$A$3:$A$2682,$D$4,LookupData!$B$3:$B$2682,$D$8,LookupData!$C$3:$C$2682,$A16)</f>
        <v>804</v>
      </c>
      <c r="H17" s="53">
        <v>836</v>
      </c>
      <c r="I17" s="30">
        <v>836</v>
      </c>
      <c r="J17" s="43">
        <v>859.46</v>
      </c>
      <c r="K17" s="148"/>
      <c r="L17" s="150"/>
      <c r="M17" s="96" t="s">
        <v>185</v>
      </c>
      <c r="N17" s="81">
        <f>'Circuit Criminal'!J17-'Drug Trafficking'!J17</f>
        <v>130924.39</v>
      </c>
    </row>
    <row r="18" spans="1:16" ht="20.25" customHeight="1" thickBot="1" x14ac:dyDescent="0.25">
      <c r="A18" s="139"/>
      <c r="B18" s="140"/>
      <c r="C18" s="131" t="s">
        <v>151</v>
      </c>
      <c r="D18" s="132"/>
      <c r="E18" s="155"/>
      <c r="F18" s="54">
        <v>214540</v>
      </c>
      <c r="G18" s="55">
        <v>214540</v>
      </c>
      <c r="H18" s="55">
        <v>214540</v>
      </c>
      <c r="I18" s="38">
        <v>214540</v>
      </c>
      <c r="J18" s="44">
        <v>214440</v>
      </c>
      <c r="K18" s="148"/>
      <c r="L18" s="150"/>
      <c r="M18" s="97" t="s">
        <v>186</v>
      </c>
      <c r="N18" s="82">
        <f>'Circuit Criminal'!J18-'Drug Trafficking'!J18</f>
        <v>787576.94</v>
      </c>
    </row>
    <row r="19" spans="1:16" ht="20.25" customHeight="1" thickTop="1" thickBot="1" x14ac:dyDescent="0.25">
      <c r="A19" s="141"/>
      <c r="B19" s="142"/>
      <c r="C19" s="143" t="s">
        <v>152</v>
      </c>
      <c r="D19" s="144"/>
      <c r="E19" s="156"/>
      <c r="F19" s="73">
        <f ca="1">IFERROR(IF(F18=0,1,ROUND(F17/F18,4)),0)</f>
        <v>3.7000000000000002E-3</v>
      </c>
      <c r="G19" s="75">
        <f t="shared" ref="G19:I19" ca="1" si="1">IFERROR(IF(G18=0,1,ROUND(G17/G18,4)),0)</f>
        <v>3.7000000000000002E-3</v>
      </c>
      <c r="H19" s="75">
        <f t="shared" si="1"/>
        <v>3.8999999999999998E-3</v>
      </c>
      <c r="I19" s="75">
        <f t="shared" si="1"/>
        <v>3.8999999999999998E-3</v>
      </c>
      <c r="J19" s="76">
        <f t="shared" ref="J19" si="2">IFERROR(IF(J18=0,1,ROUND(J17/J18,4)),0)</f>
        <v>4.0000000000000001E-3</v>
      </c>
      <c r="K19" s="151"/>
      <c r="L19" s="153"/>
      <c r="M19" s="86" t="s">
        <v>187</v>
      </c>
      <c r="N19" s="83">
        <f>IFERROR(N17/N18,1)</f>
        <v>0.16623695203671149</v>
      </c>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55"/>
      <c r="M20" s="87"/>
      <c r="N20" s="84"/>
    </row>
    <row r="21" spans="1:16" ht="20.25" customHeight="1" x14ac:dyDescent="0.2">
      <c r="A21" s="115"/>
      <c r="B21" s="116"/>
      <c r="C21" s="131" t="s">
        <v>150</v>
      </c>
      <c r="D21" s="132"/>
      <c r="E21" s="157"/>
      <c r="F21" s="158"/>
      <c r="G21" s="52">
        <f ca="1">SUMIFS(LookupData!I$3:I$2682,LookupData!$A$3:$A$2682,$D$4,LookupData!$B$3:$B$2682,$D$8,LookupData!$C$3:$C$2682,$A20)</f>
        <v>277</v>
      </c>
      <c r="H21" s="53">
        <f ca="1">SUMIFS(LookupData!J$3:J$2682,LookupData!$A$3:$A$2682,$D$4,LookupData!$B$3:$B$2682,$D$8,LookupData!$C$3:$C$2682,$A20)</f>
        <v>277</v>
      </c>
      <c r="I21" s="30">
        <v>284.57</v>
      </c>
      <c r="J21" s="30">
        <v>347.92</v>
      </c>
      <c r="K21" s="43">
        <v>379.24</v>
      </c>
      <c r="L21" s="155"/>
      <c r="M21" s="96" t="s">
        <v>185</v>
      </c>
      <c r="N21" s="81">
        <f>'Circuit Criminal'!K21-'Drug Trafficking'!K21</f>
        <v>138166.08000000002</v>
      </c>
    </row>
    <row r="22" spans="1:16" ht="20.25" customHeight="1" thickBot="1" x14ac:dyDescent="0.25">
      <c r="A22" s="115"/>
      <c r="B22" s="116"/>
      <c r="C22" s="131" t="s">
        <v>151</v>
      </c>
      <c r="D22" s="132"/>
      <c r="E22" s="157"/>
      <c r="F22" s="158"/>
      <c r="G22" s="54">
        <v>344673</v>
      </c>
      <c r="H22" s="55">
        <v>344673</v>
      </c>
      <c r="I22" s="38">
        <v>344673</v>
      </c>
      <c r="J22" s="38">
        <v>344073</v>
      </c>
      <c r="K22" s="44">
        <v>291573</v>
      </c>
      <c r="L22" s="155"/>
      <c r="M22" s="97" t="s">
        <v>186</v>
      </c>
      <c r="N22" s="82">
        <f>'Circuit Criminal'!K22-'Drug Trafficking'!K22</f>
        <v>782398.05</v>
      </c>
    </row>
    <row r="23" spans="1:16" ht="20.25" customHeight="1" thickTop="1" thickBot="1" x14ac:dyDescent="0.25">
      <c r="A23" s="117"/>
      <c r="B23" s="118"/>
      <c r="C23" s="131" t="s">
        <v>152</v>
      </c>
      <c r="D23" s="132"/>
      <c r="E23" s="157"/>
      <c r="F23" s="158"/>
      <c r="G23" s="71">
        <f t="shared" ref="G23:I23" ca="1" si="3">IFERROR(IF(G22=0,1,ROUND(G21/G22,4)),0)</f>
        <v>8.0000000000000004E-4</v>
      </c>
      <c r="H23" s="77">
        <f t="shared" ca="1" si="3"/>
        <v>8.0000000000000004E-4</v>
      </c>
      <c r="I23" s="77">
        <f t="shared" si="3"/>
        <v>8.0000000000000004E-4</v>
      </c>
      <c r="J23" s="77">
        <f t="shared" ref="J23:K23" si="4">IFERROR(IF(J22=0,1,ROUND(J21/J22,4)),0)</f>
        <v>1E-3</v>
      </c>
      <c r="K23" s="78">
        <f t="shared" si="4"/>
        <v>1.2999999999999999E-3</v>
      </c>
      <c r="L23" s="155"/>
      <c r="M23" s="86" t="s">
        <v>187</v>
      </c>
      <c r="N23" s="83">
        <f>IFERROR(N21/N22,1)</f>
        <v>0.17659307816526384</v>
      </c>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87"/>
      <c r="N24" s="84"/>
      <c r="O24"/>
      <c r="P24"/>
    </row>
    <row r="25" spans="1:16" ht="20.25" customHeight="1" x14ac:dyDescent="0.2">
      <c r="A25" s="139"/>
      <c r="B25" s="140"/>
      <c r="C25" s="131" t="s">
        <v>150</v>
      </c>
      <c r="D25" s="132"/>
      <c r="E25" s="148"/>
      <c r="F25" s="149"/>
      <c r="G25" s="150"/>
      <c r="H25" s="52">
        <v>129</v>
      </c>
      <c r="I25" s="30">
        <v>149</v>
      </c>
      <c r="J25" s="30">
        <v>164</v>
      </c>
      <c r="K25" s="30">
        <v>164</v>
      </c>
      <c r="L25" s="43"/>
      <c r="M25" s="96" t="s">
        <v>185</v>
      </c>
      <c r="N25" s="81">
        <f>'Circuit Criminal'!L25-'Drug Trafficking'!L25</f>
        <v>0</v>
      </c>
      <c r="O25"/>
      <c r="P25"/>
    </row>
    <row r="26" spans="1:16" ht="20.25" customHeight="1" thickBot="1" x14ac:dyDescent="0.25">
      <c r="A26" s="139"/>
      <c r="B26" s="140"/>
      <c r="C26" s="131" t="s">
        <v>151</v>
      </c>
      <c r="D26" s="132"/>
      <c r="E26" s="148"/>
      <c r="F26" s="149"/>
      <c r="G26" s="150"/>
      <c r="H26" s="54">
        <v>372135</v>
      </c>
      <c r="I26" s="38">
        <v>372135</v>
      </c>
      <c r="J26" s="38">
        <v>372035</v>
      </c>
      <c r="K26" s="38">
        <v>372035</v>
      </c>
      <c r="L26" s="44"/>
      <c r="M26" s="97" t="s">
        <v>186</v>
      </c>
      <c r="N26" s="82">
        <f>'Circuit Criminal'!L26-'Drug Trafficking'!L26</f>
        <v>0</v>
      </c>
      <c r="O26"/>
      <c r="P26"/>
    </row>
    <row r="27" spans="1:16" ht="20.25" customHeight="1" thickTop="1" thickBot="1" x14ac:dyDescent="0.25">
      <c r="A27" s="141"/>
      <c r="B27" s="142"/>
      <c r="C27" s="143" t="s">
        <v>152</v>
      </c>
      <c r="D27" s="144"/>
      <c r="E27" s="151"/>
      <c r="F27" s="152"/>
      <c r="G27" s="153"/>
      <c r="H27" s="73">
        <f t="shared" ref="H27:I27" si="5">IFERROR(IF(H26=0,1,ROUND(H25/H26,4)),0)</f>
        <v>2.9999999999999997E-4</v>
      </c>
      <c r="I27" s="75">
        <f t="shared" si="5"/>
        <v>4.0000000000000002E-4</v>
      </c>
      <c r="J27" s="75">
        <f t="shared" ref="J27:L27" si="6">IFERROR(IF(J26=0,1,ROUND(J25/J26,4)),0)</f>
        <v>4.0000000000000002E-4</v>
      </c>
      <c r="K27" s="75">
        <f t="shared" si="6"/>
        <v>4.0000000000000002E-4</v>
      </c>
      <c r="L27" s="76">
        <f t="shared" si="6"/>
        <v>1</v>
      </c>
      <c r="M27" s="88" t="s">
        <v>187</v>
      </c>
      <c r="N27" s="85">
        <f>IFERROR(N25/N26,1)</f>
        <v>1</v>
      </c>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c r="N28"/>
      <c r="O28"/>
      <c r="P28"/>
    </row>
    <row r="29" spans="1:16" ht="20.25" customHeight="1" x14ac:dyDescent="0.2">
      <c r="A29" s="115"/>
      <c r="B29" s="116"/>
      <c r="C29" s="131" t="s">
        <v>150</v>
      </c>
      <c r="D29" s="132"/>
      <c r="E29" s="148"/>
      <c r="F29" s="149"/>
      <c r="G29" s="149"/>
      <c r="H29" s="150"/>
      <c r="I29" s="42">
        <v>224</v>
      </c>
      <c r="J29" s="30">
        <v>317.98</v>
      </c>
      <c r="K29" s="30">
        <v>324.98</v>
      </c>
      <c r="L29" s="43"/>
      <c r="M29"/>
      <c r="N29"/>
      <c r="O29"/>
      <c r="P29"/>
    </row>
    <row r="30" spans="1:16" ht="20.25" customHeight="1" thickBot="1" x14ac:dyDescent="0.25">
      <c r="A30" s="115"/>
      <c r="B30" s="116"/>
      <c r="C30" s="131" t="s">
        <v>151</v>
      </c>
      <c r="D30" s="132"/>
      <c r="E30" s="148"/>
      <c r="F30" s="149"/>
      <c r="G30" s="149"/>
      <c r="H30" s="150"/>
      <c r="I30" s="37">
        <v>527003</v>
      </c>
      <c r="J30" s="38">
        <v>527003</v>
      </c>
      <c r="K30" s="38">
        <v>527003</v>
      </c>
      <c r="L30" s="44"/>
      <c r="M30"/>
      <c r="N30"/>
      <c r="O30"/>
      <c r="P30"/>
    </row>
    <row r="31" spans="1:16" ht="20.25" customHeight="1" thickTop="1" thickBot="1" x14ac:dyDescent="0.25">
      <c r="A31" s="117"/>
      <c r="B31" s="118"/>
      <c r="C31" s="143" t="s">
        <v>152</v>
      </c>
      <c r="D31" s="144"/>
      <c r="E31" s="151"/>
      <c r="F31" s="152"/>
      <c r="G31" s="152"/>
      <c r="H31" s="153"/>
      <c r="I31" s="73">
        <f t="shared" ref="I31" si="7">IFERROR(IF(I30=0,1,ROUND(I29/I30,4)),0)</f>
        <v>4.0000000000000002E-4</v>
      </c>
      <c r="J31" s="75">
        <f t="shared" ref="J31:L31" si="8">IFERROR(IF(J30=0,1,ROUND(J29/J30,4)),0)</f>
        <v>5.9999999999999995E-4</v>
      </c>
      <c r="K31" s="75">
        <f t="shared" si="8"/>
        <v>5.9999999999999995E-4</v>
      </c>
      <c r="L31" s="76">
        <f t="shared" si="8"/>
        <v>1</v>
      </c>
      <c r="M31"/>
      <c r="N31"/>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1" t="s">
        <v>147</v>
      </c>
      <c r="M32"/>
      <c r="N32"/>
      <c r="O32"/>
      <c r="P32"/>
    </row>
    <row r="33" spans="1:16" ht="20.25" customHeight="1" x14ac:dyDescent="0.2">
      <c r="A33" s="139"/>
      <c r="B33" s="140"/>
      <c r="C33" s="131" t="s">
        <v>150</v>
      </c>
      <c r="D33" s="132"/>
      <c r="E33" s="148"/>
      <c r="F33" s="149"/>
      <c r="G33" s="149"/>
      <c r="H33" s="149"/>
      <c r="I33" s="150"/>
      <c r="J33" s="42">
        <v>316</v>
      </c>
      <c r="K33" s="30">
        <v>323</v>
      </c>
      <c r="L33" s="43"/>
      <c r="M33"/>
      <c r="N33"/>
      <c r="O33"/>
      <c r="P33"/>
    </row>
    <row r="34" spans="1:16" ht="20.25" customHeight="1" thickBot="1" x14ac:dyDescent="0.25">
      <c r="A34" s="139"/>
      <c r="B34" s="140"/>
      <c r="C34" s="131" t="s">
        <v>151</v>
      </c>
      <c r="D34" s="132"/>
      <c r="E34" s="148"/>
      <c r="F34" s="149"/>
      <c r="G34" s="149"/>
      <c r="H34" s="149"/>
      <c r="I34" s="150"/>
      <c r="J34" s="37">
        <v>173944.5</v>
      </c>
      <c r="K34" s="38">
        <v>173944.5</v>
      </c>
      <c r="L34" s="44"/>
      <c r="M34"/>
      <c r="N34"/>
      <c r="O34"/>
      <c r="P34"/>
    </row>
    <row r="35" spans="1:16" ht="20.25" customHeight="1" thickTop="1" thickBot="1" x14ac:dyDescent="0.25">
      <c r="A35" s="141"/>
      <c r="B35" s="142"/>
      <c r="C35" s="143" t="s">
        <v>152</v>
      </c>
      <c r="D35" s="144"/>
      <c r="E35" s="151"/>
      <c r="F35" s="152"/>
      <c r="G35" s="152"/>
      <c r="H35" s="152"/>
      <c r="I35" s="153"/>
      <c r="J35" s="73">
        <f t="shared" ref="J35:L35" si="9">IFERROR(IF(J34=0,1,ROUND(J33/J34,4)),0)</f>
        <v>1.8E-3</v>
      </c>
      <c r="K35" s="75">
        <f t="shared" si="9"/>
        <v>1.9E-3</v>
      </c>
      <c r="L35" s="76">
        <f t="shared" si="9"/>
        <v>1</v>
      </c>
      <c r="M35"/>
      <c r="N35"/>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1" t="s">
        <v>146</v>
      </c>
      <c r="M36"/>
      <c r="N36"/>
      <c r="O36"/>
      <c r="P36"/>
    </row>
    <row r="37" spans="1:16" ht="20.25" customHeight="1" x14ac:dyDescent="0.2">
      <c r="A37" s="115"/>
      <c r="B37" s="116"/>
      <c r="C37" s="131" t="s">
        <v>150</v>
      </c>
      <c r="D37" s="132"/>
      <c r="E37" s="148"/>
      <c r="F37" s="149"/>
      <c r="G37" s="149"/>
      <c r="H37" s="149"/>
      <c r="I37" s="149"/>
      <c r="J37" s="150"/>
      <c r="K37" s="42">
        <v>380</v>
      </c>
      <c r="L37" s="43"/>
      <c r="M37"/>
      <c r="N37"/>
      <c r="O37"/>
      <c r="P37"/>
    </row>
    <row r="38" spans="1:16" ht="20.25" customHeight="1" thickBot="1" x14ac:dyDescent="0.25">
      <c r="A38" s="115"/>
      <c r="B38" s="116"/>
      <c r="C38" s="131" t="s">
        <v>151</v>
      </c>
      <c r="D38" s="132"/>
      <c r="E38" s="148"/>
      <c r="F38" s="149"/>
      <c r="G38" s="149"/>
      <c r="H38" s="149"/>
      <c r="I38" s="149"/>
      <c r="J38" s="150"/>
      <c r="K38" s="37">
        <v>107661</v>
      </c>
      <c r="L38" s="44"/>
      <c r="M38"/>
      <c r="N38"/>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3.5000000000000001E-3</v>
      </c>
      <c r="L39" s="76">
        <f t="shared" si="10"/>
        <v>1</v>
      </c>
      <c r="M39"/>
      <c r="N39"/>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45" t="s">
        <v>145</v>
      </c>
      <c r="M40"/>
      <c r="N40"/>
      <c r="O40"/>
      <c r="P40"/>
    </row>
    <row r="41" spans="1:16" ht="20.25" customHeight="1" x14ac:dyDescent="0.2">
      <c r="A41" s="139"/>
      <c r="B41" s="140"/>
      <c r="C41" s="131" t="s">
        <v>150</v>
      </c>
      <c r="D41" s="132"/>
      <c r="E41" s="148"/>
      <c r="F41" s="149"/>
      <c r="G41" s="149"/>
      <c r="H41" s="149"/>
      <c r="I41" s="149"/>
      <c r="J41" s="149"/>
      <c r="K41" s="150"/>
      <c r="L41" s="46"/>
      <c r="M41"/>
      <c r="N41"/>
      <c r="O41"/>
      <c r="P41"/>
    </row>
    <row r="42" spans="1:16" ht="20.25" customHeight="1" thickBot="1" x14ac:dyDescent="0.25">
      <c r="A42" s="139"/>
      <c r="B42" s="140"/>
      <c r="C42" s="131" t="s">
        <v>151</v>
      </c>
      <c r="D42" s="132"/>
      <c r="E42" s="148"/>
      <c r="F42" s="149"/>
      <c r="G42" s="149"/>
      <c r="H42" s="149"/>
      <c r="I42" s="149"/>
      <c r="J42" s="149"/>
      <c r="K42" s="150"/>
      <c r="L42" s="47"/>
      <c r="M42"/>
      <c r="N42"/>
      <c r="O42"/>
      <c r="P42"/>
    </row>
    <row r="43" spans="1:16" ht="20.25" customHeight="1" thickTop="1" thickBot="1" x14ac:dyDescent="0.25">
      <c r="A43" s="141"/>
      <c r="B43" s="142"/>
      <c r="C43" s="143" t="s">
        <v>152</v>
      </c>
      <c r="D43" s="144"/>
      <c r="E43" s="151"/>
      <c r="F43" s="152"/>
      <c r="G43" s="152"/>
      <c r="H43" s="152"/>
      <c r="I43" s="152"/>
      <c r="J43" s="152"/>
      <c r="K43" s="153"/>
      <c r="L43" s="89">
        <f>IFERROR(IF(L42=0,1,ROUND(L41/L42,4)),0)</f>
        <v>1</v>
      </c>
      <c r="M43"/>
      <c r="N43"/>
      <c r="O43"/>
      <c r="P43"/>
    </row>
    <row r="44" spans="1:16" ht="20.25" customHeight="1" x14ac:dyDescent="0.25">
      <c r="D44" s="11"/>
      <c r="E44" s="11"/>
      <c r="F44" s="11"/>
      <c r="G44" s="11"/>
      <c r="H44" s="11"/>
      <c r="I44" s="11"/>
      <c r="J44" s="11"/>
      <c r="K44" s="11"/>
      <c r="L44" s="11"/>
      <c r="M44" s="11"/>
      <c r="N44" s="12"/>
    </row>
    <row r="45" spans="1:16" ht="53.25" customHeight="1" x14ac:dyDescent="0.3">
      <c r="B45" s="165" t="s">
        <v>162</v>
      </c>
      <c r="C45" s="165"/>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215</v>
      </c>
      <c r="E47" s="107" t="s">
        <v>216</v>
      </c>
      <c r="F47" s="58"/>
      <c r="G47" s="58"/>
      <c r="H47" s="58"/>
      <c r="I47" s="58"/>
      <c r="J47" s="58"/>
      <c r="K47" s="58"/>
      <c r="L47" s="58"/>
      <c r="M47" s="58"/>
      <c r="N47" s="12"/>
    </row>
    <row r="48" spans="1:16" ht="20.25" customHeight="1" x14ac:dyDescent="0.3">
      <c r="C48" s="58"/>
      <c r="D48" s="58" t="s">
        <v>217</v>
      </c>
      <c r="E48" s="58"/>
      <c r="F48" s="58"/>
      <c r="G48" s="58"/>
      <c r="H48" s="58"/>
      <c r="I48" s="58"/>
      <c r="J48" s="58"/>
      <c r="K48" s="58"/>
      <c r="L48" s="58"/>
      <c r="M48" s="58"/>
      <c r="N48" s="12"/>
    </row>
    <row r="49" spans="3:14" ht="20.25" customHeight="1" x14ac:dyDescent="0.3">
      <c r="C49" s="58"/>
      <c r="D49" s="58" t="s">
        <v>218</v>
      </c>
      <c r="F49" s="58"/>
      <c r="G49" s="58"/>
      <c r="H49" s="58"/>
      <c r="I49" s="58"/>
      <c r="J49" s="58"/>
      <c r="K49" s="58"/>
      <c r="L49" s="58"/>
      <c r="M49" s="58"/>
      <c r="N49" s="12"/>
    </row>
    <row r="50" spans="3:14" ht="20.25" customHeight="1" x14ac:dyDescent="0.3">
      <c r="C50" s="58"/>
      <c r="D50" s="58"/>
      <c r="E50" s="58" t="s">
        <v>213</v>
      </c>
      <c r="F50" s="58"/>
      <c r="G50" s="58"/>
      <c r="H50" s="58"/>
      <c r="I50" s="58"/>
      <c r="J50" s="58"/>
      <c r="K50" s="58"/>
      <c r="L50" s="58"/>
      <c r="M50" s="58"/>
      <c r="N50" s="12"/>
    </row>
    <row r="51" spans="3:14" ht="20.25" customHeight="1" x14ac:dyDescent="0.3">
      <c r="C51" s="69"/>
      <c r="D51" s="58"/>
      <c r="E51" s="58" t="s">
        <v>214</v>
      </c>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aPtdOiVhCV228k3kSH1M37S7ddUbl0liH4r9MOKVgVTTn1QSaGuBI8Fkw9k5GYy+29NCtYGyKnpRdIwYQHBVwA==" saltValue="/OsA9x7NXdPxb7/Rix2BAw==" spinCount="100000" sheet="1" formatColumns="0" formatRows="0" selectLockedCells="1"/>
  <mergeCells count="62">
    <mergeCell ref="B45:C45"/>
    <mergeCell ref="D45:G45"/>
    <mergeCell ref="H45:K45"/>
    <mergeCell ref="M11:N12"/>
    <mergeCell ref="C40:D40"/>
    <mergeCell ref="E40:K43"/>
    <mergeCell ref="C41:D41"/>
    <mergeCell ref="C42:D42"/>
    <mergeCell ref="C43:D43"/>
    <mergeCell ref="A36:B39"/>
    <mergeCell ref="C36:D36"/>
    <mergeCell ref="E36:J39"/>
    <mergeCell ref="C37:D37"/>
    <mergeCell ref="C38:D38"/>
    <mergeCell ref="C39:D39"/>
    <mergeCell ref="A40:B43"/>
    <mergeCell ref="A32:B35"/>
    <mergeCell ref="C32:D32"/>
    <mergeCell ref="E32:I35"/>
    <mergeCell ref="C33:D33"/>
    <mergeCell ref="C34:D34"/>
    <mergeCell ref="C35:D35"/>
    <mergeCell ref="A28:B31"/>
    <mergeCell ref="C28:D28"/>
    <mergeCell ref="E28:H31"/>
    <mergeCell ref="C29:D29"/>
    <mergeCell ref="C30:D30"/>
    <mergeCell ref="C31:D31"/>
    <mergeCell ref="A24:B27"/>
    <mergeCell ref="C24:D24"/>
    <mergeCell ref="E24:G27"/>
    <mergeCell ref="C25:D25"/>
    <mergeCell ref="C26:D26"/>
    <mergeCell ref="C27:D27"/>
    <mergeCell ref="A20:B23"/>
    <mergeCell ref="C20:D20"/>
    <mergeCell ref="E20:F23"/>
    <mergeCell ref="L20:L23"/>
    <mergeCell ref="C21:D21"/>
    <mergeCell ref="C22:D22"/>
    <mergeCell ref="C23:D23"/>
    <mergeCell ref="K16:L19"/>
    <mergeCell ref="C17:D17"/>
    <mergeCell ref="C18:D18"/>
    <mergeCell ref="C19:D19"/>
    <mergeCell ref="C13:D13"/>
    <mergeCell ref="C14:D14"/>
    <mergeCell ref="C15:D15"/>
    <mergeCell ref="A16:B19"/>
    <mergeCell ref="C16:D16"/>
    <mergeCell ref="E16:E19"/>
    <mergeCell ref="A8:C8"/>
    <mergeCell ref="F8:G8"/>
    <mergeCell ref="M10:N10"/>
    <mergeCell ref="A12:B15"/>
    <mergeCell ref="C12:D12"/>
    <mergeCell ref="J12:L15"/>
    <mergeCell ref="D4:E4"/>
    <mergeCell ref="D5:E5"/>
    <mergeCell ref="D6:E6"/>
    <mergeCell ref="J6:L9"/>
    <mergeCell ref="K4:L5"/>
  </mergeCells>
  <conditionalFormatting sqref="F14:I14">
    <cfRule type="expression" dxfId="170" priority="14">
      <formula>F14&gt;(MIN($E14:E14))</formula>
    </cfRule>
  </conditionalFormatting>
  <conditionalFormatting sqref="F13:I13">
    <cfRule type="expression" dxfId="169" priority="13">
      <formula>F13&lt;(MAX($E13:E13))</formula>
    </cfRule>
  </conditionalFormatting>
  <conditionalFormatting sqref="G17:J17">
    <cfRule type="expression" dxfId="168" priority="12">
      <formula>G17&lt;(MAX($F17:F17))</formula>
    </cfRule>
  </conditionalFormatting>
  <conditionalFormatting sqref="G18:J18">
    <cfRule type="expression" dxfId="167" priority="11">
      <formula>G18&gt;(MIN($F18:F18))</formula>
    </cfRule>
  </conditionalFormatting>
  <conditionalFormatting sqref="H22:K22">
    <cfRule type="expression" dxfId="166" priority="10">
      <formula>H22&gt;(MIN($G22:G22))</formula>
    </cfRule>
  </conditionalFormatting>
  <conditionalFormatting sqref="H21:K21">
    <cfRule type="expression" dxfId="165" priority="9">
      <formula>H21&lt;(MAX($G21:G21))</formula>
    </cfRule>
  </conditionalFormatting>
  <conditionalFormatting sqref="I26:L26">
    <cfRule type="expression" dxfId="164" priority="8">
      <formula>I26&gt;(MIN($H26:H26))</formula>
    </cfRule>
  </conditionalFormatting>
  <conditionalFormatting sqref="I25:L25">
    <cfRule type="expression" dxfId="163" priority="7">
      <formula>I25&lt;(MAX($H25:H25))</formula>
    </cfRule>
  </conditionalFormatting>
  <conditionalFormatting sqref="J30:L30">
    <cfRule type="expression" dxfId="162" priority="6">
      <formula>J30&gt;(MIN($I30:I30))</formula>
    </cfRule>
  </conditionalFormatting>
  <conditionalFormatting sqref="J29:L29">
    <cfRule type="expression" dxfId="161" priority="5">
      <formula>J29&lt;(MAX($I29:I29))</formula>
    </cfRule>
  </conditionalFormatting>
  <conditionalFormatting sqref="K34:L34">
    <cfRule type="expression" dxfId="160" priority="4">
      <formula>K34&gt;(MIN($J34:J34))</formula>
    </cfRule>
  </conditionalFormatting>
  <conditionalFormatting sqref="K33:L33">
    <cfRule type="expression" dxfId="159" priority="3">
      <formula>K33&lt;(MAX($J33:J33))</formula>
    </cfRule>
  </conditionalFormatting>
  <conditionalFormatting sqref="L38">
    <cfRule type="expression" dxfId="158" priority="2">
      <formula>L38&gt;(MIN($G38:K38))</formula>
    </cfRule>
  </conditionalFormatting>
  <conditionalFormatting sqref="L37">
    <cfRule type="expression" dxfId="157" priority="1">
      <formula>L37&lt;(MAX($K37:K37))</formula>
    </cfRule>
  </conditionalFormatting>
  <dataValidations count="1">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H6</xm:sqref>
        </x14:dataValidation>
        <x14:dataValidation type="list" allowBlank="1" showInputMessage="1" showErrorMessage="1">
          <x14:formula1>
            <xm:f>LookupData!$U$3:$U$6</xm:f>
          </x14:formula1>
          <xm:sqref>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22" zoomScale="85" zoomScaleNormal="85" zoomScaleSheetLayoutView="75" zoomScalePageLayoutView="75" workbookViewId="0">
      <selection activeCell="N20" sqref="N20:N23"/>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3: Apr - Jun</v>
      </c>
      <c r="I4"/>
      <c r="K4" s="32" t="s">
        <v>1</v>
      </c>
      <c r="L4" s="79">
        <f>'Circuit Criminal'!L4</f>
        <v>2</v>
      </c>
      <c r="N4" s="121" t="str">
        <f>'Circuit Criminal'!N4</f>
        <v>CCOC Form Version 2
Revised 1/18/19</v>
      </c>
    </row>
    <row r="5" spans="1:14" ht="24" customHeight="1" thickBot="1" x14ac:dyDescent="0.25">
      <c r="A5" s="8"/>
      <c r="C5" s="32" t="s">
        <v>68</v>
      </c>
      <c r="D5" s="112" t="str">
        <f>'Circuit Criminal'!D5</f>
        <v>Michelle Levar</v>
      </c>
      <c r="E5" s="112"/>
      <c r="F5" s="9"/>
      <c r="N5" s="122"/>
    </row>
    <row r="6" spans="1:14" ht="24" customHeight="1" x14ac:dyDescent="0.2">
      <c r="A6" s="8"/>
      <c r="C6" s="32" t="s">
        <v>69</v>
      </c>
      <c r="D6" s="111" t="str">
        <f>'Circuit Criminal'!D6</f>
        <v>michell.levar@brevardclerk.us</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County Criminal</v>
      </c>
      <c r="E8" s="10"/>
      <c r="F8" s="127" t="s">
        <v>137</v>
      </c>
      <c r="G8" s="127"/>
      <c r="H8" s="102">
        <f ca="1">INDEX(LookupData!AA3:AA12,MATCH(D8,LookupData!Z3:Z12,0))</f>
        <v>0.4</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t="s">
        <v>155</v>
      </c>
      <c r="N12" s="125" t="s">
        <v>237</v>
      </c>
    </row>
    <row r="13" spans="1:14" ht="19.5" customHeight="1" x14ac:dyDescent="0.2">
      <c r="A13" s="115"/>
      <c r="B13" s="116"/>
      <c r="C13" s="131" t="s">
        <v>150</v>
      </c>
      <c r="D13" s="132"/>
      <c r="E13" s="52">
        <f ca="1">SUMIFS(LookupData!I$3:I$2682,LookupData!$A$3:$A$2682,$D$4,LookupData!$B$3:$B$2682,$D$8,LookupData!$C$3:$C$2682,$A12)</f>
        <v>84906.36</v>
      </c>
      <c r="F13" s="53">
        <f ca="1">SUMIFS(LookupData!J$3:J$2682,LookupData!$A$3:$A$2682,$D$4,LookupData!$B$3:$B$2682,$D$8,LookupData!$C$3:$C$2682,$A12)</f>
        <v>128151.17</v>
      </c>
      <c r="G13" s="53">
        <f ca="1">SUMIFS(LookupData!K$3:K$2682,LookupData!$A$3:$A$2682,$D$4,LookupData!$B$3:$B$2682,$D$8,LookupData!$C$3:$C$2682,$A12)</f>
        <v>164161.95000000001</v>
      </c>
      <c r="H13" s="53">
        <f ca="1">SUMIFS(LookupData!L$3:L$2682,LookupData!$A$3:$A$2682,$D$4,LookupData!$B$3:$B$2682,$D$8,LookupData!$C$3:$C$2682,$A12)</f>
        <v>183817</v>
      </c>
      <c r="I13" s="43">
        <v>202721.99</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515994.45</v>
      </c>
      <c r="F14" s="55">
        <f ca="1">SUMIFS(LookupData!E$3:E$2682,LookupData!$A$3:$A$2682,$D$4,LookupData!$B$3:$B$2682,$D$8,LookupData!$C$3:$C$2682,$A12)</f>
        <v>508382.45</v>
      </c>
      <c r="G14" s="55">
        <f ca="1">SUMIFS(LookupData!F$3:F$2682,LookupData!$A$3:$A$2682,$D$4,LookupData!$B$3:$B$2682,$D$8,LookupData!$C$3:$C$2682,$A12)</f>
        <v>507932.45</v>
      </c>
      <c r="H14" s="55">
        <f ca="1">SUMIFS(LookupData!G$3:G$2682,LookupData!$A$3:$A$2682,$D$4,LookupData!$B$3:$B$2682,$D$8,LookupData!$C$3:$C$2682,$A12)</f>
        <v>507382.45</v>
      </c>
      <c r="I14" s="44">
        <v>507282.45</v>
      </c>
      <c r="J14" s="134"/>
      <c r="K14" s="134"/>
      <c r="L14" s="134"/>
      <c r="M14" s="124"/>
      <c r="N14" s="126"/>
    </row>
    <row r="15" spans="1:14" ht="19.5" customHeight="1" thickTop="1" thickBot="1" x14ac:dyDescent="0.25">
      <c r="A15" s="117"/>
      <c r="B15" s="118"/>
      <c r="C15" s="131" t="s">
        <v>152</v>
      </c>
      <c r="D15" s="132"/>
      <c r="E15" s="71">
        <f ca="1">IFERROR(IF(E14=0,1,ROUND(E13/E14,4)),0)</f>
        <v>0.16450000000000001</v>
      </c>
      <c r="F15" s="77">
        <f t="shared" ref="F15:H15" ca="1" si="0">IFERROR(IF(F14=0,1,ROUND(F13/F14,4)),0)</f>
        <v>0.25209999999999999</v>
      </c>
      <c r="G15" s="77">
        <f t="shared" ca="1" si="0"/>
        <v>0.32319999999999999</v>
      </c>
      <c r="H15" s="77">
        <f t="shared" ca="1" si="0"/>
        <v>0.36230000000000001</v>
      </c>
      <c r="I15" s="78">
        <f t="shared" ref="I15" si="1">IFERROR(IF(I14=0,1,ROUND(I13/I14,4)),0)</f>
        <v>0.39960000000000001</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91595.4</v>
      </c>
      <c r="G17" s="53">
        <f ca="1">SUMIFS(LookupData!J$3:J$2682,LookupData!$A$3:$A$2682,$D$4,LookupData!$B$3:$B$2682,$D$8,LookupData!$C$3:$C$2682,$A16)</f>
        <v>129930.03</v>
      </c>
      <c r="H17" s="53">
        <f ca="1">SUMIFS(LookupData!K$3:K$2682,LookupData!$A$3:$A$2682,$D$4,LookupData!$B$3:$B$2682,$D$8,LookupData!$C$3:$C$2682,$A16)</f>
        <v>166095.93</v>
      </c>
      <c r="I17" s="30">
        <v>184066.74</v>
      </c>
      <c r="J17" s="43">
        <v>213579.68</v>
      </c>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506053.75</v>
      </c>
      <c r="G18" s="55">
        <f ca="1">SUMIFS(LookupData!E$3:E$2682,LookupData!$A$3:$A$2682,$D$4,LookupData!$B$3:$B$2682,$D$8,LookupData!$C$3:$C$2682,$A16)</f>
        <v>502424.75</v>
      </c>
      <c r="H18" s="55">
        <f ca="1">SUMIFS(LookupData!F$3:F$2682,LookupData!$A$3:$A$2682,$D$4,LookupData!$B$3:$B$2682,$D$8,LookupData!$C$3:$C$2682,$A16)</f>
        <v>501624.75</v>
      </c>
      <c r="I18" s="38">
        <v>501171.25</v>
      </c>
      <c r="J18" s="44">
        <v>500805.25</v>
      </c>
      <c r="K18" s="148"/>
      <c r="L18" s="150"/>
      <c r="M18" s="159"/>
      <c r="N18" s="160"/>
    </row>
    <row r="19" spans="1:16" ht="20.25" customHeight="1" thickTop="1" thickBot="1" x14ac:dyDescent="0.25">
      <c r="A19" s="141"/>
      <c r="B19" s="142"/>
      <c r="C19" s="143" t="s">
        <v>152</v>
      </c>
      <c r="D19" s="144"/>
      <c r="E19" s="156"/>
      <c r="F19" s="73">
        <f ca="1">IFERROR(IF(F18=0,1,ROUND(F17/F18,4)),0)</f>
        <v>0.18099999999999999</v>
      </c>
      <c r="G19" s="75">
        <f t="shared" ref="G19:H19" ca="1" si="2">IFERROR(IF(G18=0,1,ROUND(G17/G18,4)),0)</f>
        <v>0.2586</v>
      </c>
      <c r="H19" s="75">
        <f t="shared" ca="1" si="2"/>
        <v>0.33110000000000001</v>
      </c>
      <c r="I19" s="75">
        <f t="shared" ref="I19:J19" si="3">IFERROR(IF(I18=0,1,ROUND(I17/I18,4)),0)</f>
        <v>0.36730000000000002</v>
      </c>
      <c r="J19" s="76">
        <f t="shared" si="3"/>
        <v>0.42649999999999999</v>
      </c>
      <c r="K19" s="151"/>
      <c r="L19" s="153"/>
      <c r="M19" s="159"/>
      <c r="N19" s="160"/>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c r="N20" s="125" t="s">
        <v>237</v>
      </c>
    </row>
    <row r="21" spans="1:16" ht="20.25" customHeight="1" x14ac:dyDescent="0.2">
      <c r="A21" s="115"/>
      <c r="B21" s="116"/>
      <c r="C21" s="131" t="s">
        <v>150</v>
      </c>
      <c r="D21" s="132"/>
      <c r="E21" s="157"/>
      <c r="F21" s="158"/>
      <c r="G21" s="52">
        <f ca="1">SUMIFS(LookupData!I$3:I$2682,LookupData!$A$3:$A$2682,$D$4,LookupData!$B$3:$B$2682,$D$8,LookupData!$C$3:$C$2682,$A20)</f>
        <v>95364.54</v>
      </c>
      <c r="H21" s="53">
        <f ca="1">SUMIFS(LookupData!J$3:J$2682,LookupData!$A$3:$A$2682,$D$4,LookupData!$B$3:$B$2682,$D$8,LookupData!$C$3:$C$2682,$A20)</f>
        <v>133447.14000000001</v>
      </c>
      <c r="I21" s="30">
        <v>167182.42000000001</v>
      </c>
      <c r="J21" s="30">
        <v>201116.76</v>
      </c>
      <c r="K21" s="43">
        <v>225112.83</v>
      </c>
      <c r="L21" s="148"/>
      <c r="M21" s="159"/>
      <c r="N21" s="126"/>
    </row>
    <row r="22" spans="1:16" ht="20.25" customHeight="1" thickBot="1" x14ac:dyDescent="0.25">
      <c r="A22" s="115"/>
      <c r="B22" s="116"/>
      <c r="C22" s="131" t="s">
        <v>151</v>
      </c>
      <c r="D22" s="132"/>
      <c r="E22" s="157"/>
      <c r="F22" s="158"/>
      <c r="G22" s="54">
        <f ca="1">SUMIFS(LookupData!D$3:D$2682,LookupData!$A$3:$A$2682,$D$4,LookupData!$B$3:$B$2682,$D$8,LookupData!$C$3:$C$2682,$A20)</f>
        <v>577403.57999999996</v>
      </c>
      <c r="H22" s="55">
        <v>572889.57999999996</v>
      </c>
      <c r="I22" s="38">
        <v>572085</v>
      </c>
      <c r="J22" s="38">
        <v>571461.57999999996</v>
      </c>
      <c r="K22" s="44">
        <v>570818.07999999996</v>
      </c>
      <c r="L22" s="148"/>
      <c r="M22" s="159"/>
      <c r="N22" s="126"/>
    </row>
    <row r="23" spans="1:16" ht="20.25" customHeight="1" thickTop="1" thickBot="1" x14ac:dyDescent="0.25">
      <c r="A23" s="117"/>
      <c r="B23" s="118"/>
      <c r="C23" s="131" t="s">
        <v>152</v>
      </c>
      <c r="D23" s="132"/>
      <c r="E23" s="157"/>
      <c r="F23" s="158"/>
      <c r="G23" s="71">
        <f t="shared" ref="G23:H23" ca="1" si="4">IFERROR(IF(G22=0,1,ROUND(G21/G22,4)),0)</f>
        <v>0.16520000000000001</v>
      </c>
      <c r="H23" s="77">
        <f t="shared" ca="1" si="4"/>
        <v>0.2329</v>
      </c>
      <c r="I23" s="77">
        <f t="shared" ref="I23:K23" si="5">IFERROR(IF(I22=0,1,ROUND(I21/I22,4)),0)</f>
        <v>0.29220000000000002</v>
      </c>
      <c r="J23" s="77">
        <f t="shared" si="5"/>
        <v>0.35189999999999999</v>
      </c>
      <c r="K23" s="78">
        <f t="shared" si="5"/>
        <v>0.39439999999999997</v>
      </c>
      <c r="L23" s="148"/>
      <c r="M23" s="159"/>
      <c r="N23" s="126"/>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96028.98</v>
      </c>
      <c r="I25" s="30">
        <v>130000.89</v>
      </c>
      <c r="J25" s="30">
        <v>172329.24</v>
      </c>
      <c r="K25" s="30">
        <v>201710.8</v>
      </c>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587918.86</v>
      </c>
      <c r="I26" s="38">
        <v>581929.36</v>
      </c>
      <c r="J26" s="38">
        <v>580892.36</v>
      </c>
      <c r="K26" s="38">
        <v>580192.36</v>
      </c>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0.1633</v>
      </c>
      <c r="I27" s="75">
        <f t="shared" ref="I27:L27" si="7">IFERROR(IF(I26=0,1,ROUND(I25/I26,4)),0)</f>
        <v>0.22339999999999999</v>
      </c>
      <c r="J27" s="75">
        <f t="shared" si="7"/>
        <v>0.29670000000000002</v>
      </c>
      <c r="K27" s="75">
        <f t="shared" si="7"/>
        <v>0.34770000000000001</v>
      </c>
      <c r="L27" s="76">
        <f t="shared" si="7"/>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72813.91</v>
      </c>
      <c r="J29" s="30">
        <v>116359.84</v>
      </c>
      <c r="K29" s="30">
        <v>152319.07999999999</v>
      </c>
      <c r="L29" s="43"/>
      <c r="M29" s="157"/>
      <c r="N29" s="191"/>
      <c r="O29"/>
      <c r="P29"/>
    </row>
    <row r="30" spans="1:16" ht="20.25" customHeight="1" thickBot="1" x14ac:dyDescent="0.25">
      <c r="A30" s="115"/>
      <c r="B30" s="116"/>
      <c r="C30" s="131" t="s">
        <v>151</v>
      </c>
      <c r="D30" s="132"/>
      <c r="E30" s="148"/>
      <c r="F30" s="149"/>
      <c r="G30" s="149"/>
      <c r="H30" s="150"/>
      <c r="I30" s="37">
        <v>532791.19999999995</v>
      </c>
      <c r="J30" s="38">
        <v>525804.19999999995</v>
      </c>
      <c r="K30" s="38">
        <v>524930.19999999995</v>
      </c>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0.13669999999999999</v>
      </c>
      <c r="J31" s="75">
        <f t="shared" si="8"/>
        <v>0.2213</v>
      </c>
      <c r="K31" s="75">
        <f t="shared" si="8"/>
        <v>0.29020000000000001</v>
      </c>
      <c r="L31" s="74">
        <f t="shared" si="8"/>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89997.52</v>
      </c>
      <c r="K33" s="30">
        <v>126916.42</v>
      </c>
      <c r="L33" s="48"/>
      <c r="M33" s="181"/>
      <c r="N33" s="182"/>
      <c r="O33"/>
      <c r="P33"/>
    </row>
    <row r="34" spans="1:16" ht="20.25" customHeight="1" thickBot="1" x14ac:dyDescent="0.25">
      <c r="A34" s="139"/>
      <c r="B34" s="140"/>
      <c r="C34" s="131" t="s">
        <v>151</v>
      </c>
      <c r="D34" s="132"/>
      <c r="E34" s="148"/>
      <c r="F34" s="149"/>
      <c r="G34" s="149"/>
      <c r="H34" s="149"/>
      <c r="I34" s="150"/>
      <c r="J34" s="37">
        <v>510011.75</v>
      </c>
      <c r="K34" s="38">
        <v>503104.25</v>
      </c>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0.17649999999999999</v>
      </c>
      <c r="K35" s="75">
        <f t="shared" si="9"/>
        <v>0.25230000000000002</v>
      </c>
      <c r="L35" s="74">
        <f t="shared" si="9"/>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v>99655.84</v>
      </c>
      <c r="L37" s="30"/>
      <c r="M37" s="187"/>
      <c r="N37" s="188"/>
      <c r="O37"/>
      <c r="P37"/>
    </row>
    <row r="38" spans="1:16" ht="20.25" customHeight="1" thickBot="1" x14ac:dyDescent="0.25">
      <c r="A38" s="115"/>
      <c r="B38" s="116"/>
      <c r="C38" s="131" t="s">
        <v>151</v>
      </c>
      <c r="D38" s="132"/>
      <c r="E38" s="148"/>
      <c r="F38" s="149"/>
      <c r="G38" s="149"/>
      <c r="H38" s="149"/>
      <c r="I38" s="149"/>
      <c r="J38" s="150"/>
      <c r="K38" s="37">
        <v>515552.01</v>
      </c>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0.1933</v>
      </c>
      <c r="L39" s="74">
        <f t="shared" si="10"/>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53.25" customHeight="1" x14ac:dyDescent="0.3">
      <c r="B45" s="165" t="s">
        <v>162</v>
      </c>
      <c r="C45" s="165"/>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NkJE64Sy8V6gBoZruRHLYasUGFvQpBK5LGsnCW4I9kpz4tw7ZsZoPL2goNNUf5urVoIXfx/0d/0SA4ooRzwDVA==" saltValue="Rx52FeNvJcC63ngO6T7CiA==" spinCount="100000" sheet="1" formatColumns="0" formatRows="0" selectLockedCells="1"/>
  <mergeCells count="81">
    <mergeCell ref="D45:G45"/>
    <mergeCell ref="H45:K45"/>
    <mergeCell ref="B45:C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156" priority="25">
      <formula>F14&gt;(MIN($E14:E14))</formula>
    </cfRule>
  </conditionalFormatting>
  <conditionalFormatting sqref="F13:I13">
    <cfRule type="expression" dxfId="155" priority="24">
      <formula>F13&lt;(MAX($E13:E13))</formula>
    </cfRule>
  </conditionalFormatting>
  <conditionalFormatting sqref="G17:J17">
    <cfRule type="expression" dxfId="154" priority="23">
      <formula>G17&lt;(MAX($F17:F17))</formula>
    </cfRule>
  </conditionalFormatting>
  <conditionalFormatting sqref="G18:J18">
    <cfRule type="expression" dxfId="153" priority="22">
      <formula>G18&gt;(MIN($F18:F18))</formula>
    </cfRule>
  </conditionalFormatting>
  <conditionalFormatting sqref="H22:K22">
    <cfRule type="expression" dxfId="152" priority="21">
      <formula>H22&gt;(MIN($G22:G22))</formula>
    </cfRule>
  </conditionalFormatting>
  <conditionalFormatting sqref="H21:K21">
    <cfRule type="expression" dxfId="151" priority="20">
      <formula>H21&lt;(MAX($G21:G21))</formula>
    </cfRule>
  </conditionalFormatting>
  <conditionalFormatting sqref="I26:L26">
    <cfRule type="expression" dxfId="150" priority="19">
      <formula>I26&gt;(MIN($H26:H26))</formula>
    </cfRule>
  </conditionalFormatting>
  <conditionalFormatting sqref="I25:L25">
    <cfRule type="expression" dxfId="149" priority="18">
      <formula>I25&lt;(MAX($H25:H25))</formula>
    </cfRule>
  </conditionalFormatting>
  <conditionalFormatting sqref="J30:L30">
    <cfRule type="expression" dxfId="148" priority="17">
      <formula>J30&gt;(MIN($I30:I30))</formula>
    </cfRule>
  </conditionalFormatting>
  <conditionalFormatting sqref="J29:L29">
    <cfRule type="expression" dxfId="147" priority="16">
      <formula>J29&lt;(MAX($I29:I29))</formula>
    </cfRule>
  </conditionalFormatting>
  <conditionalFormatting sqref="K34:L34">
    <cfRule type="expression" dxfId="146" priority="15">
      <formula>K34&gt;(MIN($J34:J34))</formula>
    </cfRule>
  </conditionalFormatting>
  <conditionalFormatting sqref="K33:L33">
    <cfRule type="expression" dxfId="145" priority="14">
      <formula>K33&lt;(MAX($J33:J33))</formula>
    </cfRule>
  </conditionalFormatting>
  <conditionalFormatting sqref="L38">
    <cfRule type="expression" dxfId="144" priority="13">
      <formula>L38&gt;(MIN($G38:K38))</formula>
    </cfRule>
  </conditionalFormatting>
  <conditionalFormatting sqref="L37">
    <cfRule type="expression" dxfId="143" priority="12">
      <formula>L37&lt;(MAX($K37:K37))</formula>
    </cfRule>
  </conditionalFormatting>
  <conditionalFormatting sqref="I15 J19 K23 L27">
    <cfRule type="expression" dxfId="142" priority="11">
      <formula>I15&lt;$H$8</formula>
    </cfRule>
  </conditionalFormatting>
  <conditionalFormatting sqref="M16:N19">
    <cfRule type="expression" dxfId="141" priority="5">
      <formula>$J$19&lt;$H$8</formula>
    </cfRule>
  </conditionalFormatting>
  <conditionalFormatting sqref="M20:M23">
    <cfRule type="expression" dxfId="140" priority="4">
      <formula>$K$23&lt;$H$8</formula>
    </cfRule>
  </conditionalFormatting>
  <conditionalFormatting sqref="M24:N27">
    <cfRule type="expression" dxfId="139" priority="3">
      <formula>$L$27&lt;$H$8</formula>
    </cfRule>
  </conditionalFormatting>
  <conditionalFormatting sqref="M12:N15">
    <cfRule type="expression" dxfId="138" priority="2">
      <formula>$I$15&lt;$H$8</formula>
    </cfRule>
  </conditionalFormatting>
  <conditionalFormatting sqref="N20:N23">
    <cfRule type="expression" dxfId="1"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0" zoomScale="85" zoomScaleNormal="85" zoomScaleSheetLayoutView="75" zoomScalePageLayoutView="75" workbookViewId="0">
      <selection activeCell="N20" sqref="N20:N23"/>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3: Apr - Jun</v>
      </c>
      <c r="I4"/>
      <c r="K4" s="32" t="s">
        <v>1</v>
      </c>
      <c r="L4" s="79">
        <f>'Circuit Criminal'!L4</f>
        <v>2</v>
      </c>
      <c r="N4" s="121" t="str">
        <f>'Circuit Criminal'!N4</f>
        <v>CCOC Form Version 2
Revised 1/18/19</v>
      </c>
    </row>
    <row r="5" spans="1:14" ht="24" customHeight="1" thickBot="1" x14ac:dyDescent="0.25">
      <c r="A5" s="8"/>
      <c r="C5" s="32" t="s">
        <v>68</v>
      </c>
      <c r="D5" s="112" t="str">
        <f>'Circuit Criminal'!D5</f>
        <v>Michelle Levar</v>
      </c>
      <c r="E5" s="112"/>
      <c r="F5" s="9"/>
      <c r="N5" s="122"/>
    </row>
    <row r="6" spans="1:14" ht="24" customHeight="1" x14ac:dyDescent="0.2">
      <c r="A6" s="8"/>
      <c r="C6" s="32" t="s">
        <v>69</v>
      </c>
      <c r="D6" s="111" t="str">
        <f>'Circuit Criminal'!D6</f>
        <v>michell.levar@brevardclerk.us</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Juvenile Delinquency</v>
      </c>
      <c r="E8" s="10"/>
      <c r="F8" s="127" t="s">
        <v>137</v>
      </c>
      <c r="G8" s="127"/>
      <c r="H8" s="102">
        <f ca="1">INDEX(LookupData!AA3:AA12,MATCH(D8,LookupData!Z3:Z12,0))</f>
        <v>0.09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t="s">
        <v>155</v>
      </c>
      <c r="N12" s="125" t="s">
        <v>237</v>
      </c>
    </row>
    <row r="13" spans="1:14" ht="19.5" customHeight="1" x14ac:dyDescent="0.2">
      <c r="A13" s="115"/>
      <c r="B13" s="116"/>
      <c r="C13" s="131" t="s">
        <v>150</v>
      </c>
      <c r="D13" s="132"/>
      <c r="E13" s="52">
        <f ca="1">SUMIFS(LookupData!I$3:I$2682,LookupData!$A$3:$A$2682,$D$4,LookupData!$B$3:$B$2682,$D$8,LookupData!$C$3:$C$2682,$A12)</f>
        <v>1011.1</v>
      </c>
      <c r="F13" s="53">
        <f ca="1">SUMIFS(LookupData!J$3:J$2682,LookupData!$A$3:$A$2682,$D$4,LookupData!$B$3:$B$2682,$D$8,LookupData!$C$3:$C$2682,$A12)</f>
        <v>1286.0999999999999</v>
      </c>
      <c r="G13" s="53">
        <f ca="1">SUMIFS(LookupData!K$3:K$2682,LookupData!$A$3:$A$2682,$D$4,LookupData!$B$3:$B$2682,$D$8,LookupData!$C$3:$C$2682,$A12)</f>
        <v>1406.1</v>
      </c>
      <c r="H13" s="53">
        <f ca="1">SUMIFS(LookupData!L$3:L$2682,LookupData!$A$3:$A$2682,$D$4,LookupData!$B$3:$B$2682,$D$8,LookupData!$C$3:$C$2682,$A12)</f>
        <v>1431.1</v>
      </c>
      <c r="I13" s="43">
        <v>2018.1</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28156.6</v>
      </c>
      <c r="F14" s="55">
        <f ca="1">SUMIFS(LookupData!E$3:E$2682,LookupData!$A$3:$A$2682,$D$4,LookupData!$B$3:$B$2682,$D$8,LookupData!$C$3:$C$2682,$A12)</f>
        <v>27856.6</v>
      </c>
      <c r="G14" s="55">
        <f ca="1">SUMIFS(LookupData!F$3:F$2682,LookupData!$A$3:$A$2682,$D$4,LookupData!$B$3:$B$2682,$D$8,LookupData!$C$3:$C$2682,$A12)</f>
        <v>27306.6</v>
      </c>
      <c r="H14" s="55">
        <f ca="1">SUMIFS(LookupData!G$3:G$2682,LookupData!$A$3:$A$2682,$D$4,LookupData!$B$3:$B$2682,$D$8,LookupData!$C$3:$C$2682,$A12)</f>
        <v>27156.6</v>
      </c>
      <c r="I14" s="44">
        <v>27156.6</v>
      </c>
      <c r="J14" s="134"/>
      <c r="K14" s="134"/>
      <c r="L14" s="134"/>
      <c r="M14" s="124"/>
      <c r="N14" s="126"/>
    </row>
    <row r="15" spans="1:14" ht="19.5" customHeight="1" thickTop="1" thickBot="1" x14ac:dyDescent="0.25">
      <c r="A15" s="117"/>
      <c r="B15" s="118"/>
      <c r="C15" s="131" t="s">
        <v>152</v>
      </c>
      <c r="D15" s="132"/>
      <c r="E15" s="71">
        <f ca="1">IFERROR(IF(E14=0,1,ROUND(E13/E14,4)),0)</f>
        <v>3.5900000000000001E-2</v>
      </c>
      <c r="F15" s="77">
        <f t="shared" ref="F15:H15" ca="1" si="0">IFERROR(IF(F14=0,1,ROUND(F13/F14,4)),0)</f>
        <v>4.6199999999999998E-2</v>
      </c>
      <c r="G15" s="77">
        <f t="shared" ca="1" si="0"/>
        <v>5.1499999999999997E-2</v>
      </c>
      <c r="H15" s="77">
        <f t="shared" ca="1" si="0"/>
        <v>5.2699999999999997E-2</v>
      </c>
      <c r="I15" s="78">
        <f t="shared" ref="I15" si="1">IFERROR(IF(I14=0,1,ROUND(I13/I14,4)),0)</f>
        <v>7.4300000000000005E-2</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t="s">
        <v>155</v>
      </c>
      <c r="N16" s="160" t="s">
        <v>238</v>
      </c>
    </row>
    <row r="17" spans="1:16" ht="20.25" customHeight="1" x14ac:dyDescent="0.2">
      <c r="A17" s="139"/>
      <c r="B17" s="140"/>
      <c r="C17" s="131" t="s">
        <v>150</v>
      </c>
      <c r="D17" s="132"/>
      <c r="E17" s="155"/>
      <c r="F17" s="52">
        <f ca="1">SUMIFS(LookupData!I$3:I$2682,LookupData!$A$3:$A$2682,$D$4,LookupData!$B$3:$B$2682,$D$8,LookupData!$C$3:$C$2682,$A16)</f>
        <v>881.85</v>
      </c>
      <c r="G17" s="53">
        <f ca="1">SUMIFS(LookupData!J$3:J$2682,LookupData!$A$3:$A$2682,$D$4,LookupData!$B$3:$B$2682,$D$8,LookupData!$C$3:$C$2682,$A16)</f>
        <v>1249.8499999999999</v>
      </c>
      <c r="H17" s="53">
        <f ca="1">SUMIFS(LookupData!K$3:K$2682,LookupData!$A$3:$A$2682,$D$4,LookupData!$B$3:$B$2682,$D$8,LookupData!$C$3:$C$2682,$A16)</f>
        <v>1324.85</v>
      </c>
      <c r="I17" s="30">
        <v>1528.35</v>
      </c>
      <c r="J17" s="43">
        <v>2016.35</v>
      </c>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36785.35</v>
      </c>
      <c r="G18" s="55">
        <f ca="1">SUMIFS(LookupData!E$3:E$2682,LookupData!$A$3:$A$2682,$D$4,LookupData!$B$3:$B$2682,$D$8,LookupData!$C$3:$C$2682,$A16)</f>
        <v>36235.35</v>
      </c>
      <c r="H18" s="55">
        <f ca="1">SUMIFS(LookupData!F$3:F$2682,LookupData!$A$3:$A$2682,$D$4,LookupData!$B$3:$B$2682,$D$8,LookupData!$C$3:$C$2682,$A16)</f>
        <v>35835.35</v>
      </c>
      <c r="I18" s="38">
        <v>35535.35</v>
      </c>
      <c r="J18" s="44">
        <v>35535.35</v>
      </c>
      <c r="K18" s="148"/>
      <c r="L18" s="150"/>
      <c r="M18" s="159"/>
      <c r="N18" s="160"/>
    </row>
    <row r="19" spans="1:16" ht="20.25" customHeight="1" thickTop="1" thickBot="1" x14ac:dyDescent="0.25">
      <c r="A19" s="141"/>
      <c r="B19" s="142"/>
      <c r="C19" s="143" t="s">
        <v>152</v>
      </c>
      <c r="D19" s="144"/>
      <c r="E19" s="156"/>
      <c r="F19" s="73">
        <f ca="1">IFERROR(IF(F18=0,1,ROUND(F17/F18,4)),0)</f>
        <v>2.4E-2</v>
      </c>
      <c r="G19" s="75">
        <f t="shared" ref="G19:H19" ca="1" si="2">IFERROR(IF(G18=0,1,ROUND(G17/G18,4)),0)</f>
        <v>3.4500000000000003E-2</v>
      </c>
      <c r="H19" s="75">
        <f t="shared" ca="1" si="2"/>
        <v>3.6999999999999998E-2</v>
      </c>
      <c r="I19" s="75">
        <f t="shared" ref="I19:J19" si="3">IFERROR(IF(I18=0,1,ROUND(I17/I18,4)),0)</f>
        <v>4.2999999999999997E-2</v>
      </c>
      <c r="J19" s="76">
        <f t="shared" si="3"/>
        <v>5.67E-2</v>
      </c>
      <c r="K19" s="151"/>
      <c r="L19" s="153"/>
      <c r="M19" s="159"/>
      <c r="N19" s="160"/>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c r="N20" s="125" t="s">
        <v>237</v>
      </c>
    </row>
    <row r="21" spans="1:16" ht="20.25" customHeight="1" x14ac:dyDescent="0.2">
      <c r="A21" s="115"/>
      <c r="B21" s="116"/>
      <c r="C21" s="131" t="s">
        <v>150</v>
      </c>
      <c r="D21" s="132"/>
      <c r="E21" s="157"/>
      <c r="F21" s="158"/>
      <c r="G21" s="52">
        <f ca="1">SUMIFS(LookupData!I$3:I$2682,LookupData!$A$3:$A$2682,$D$4,LookupData!$B$3:$B$2682,$D$8,LookupData!$C$3:$C$2682,$A20)</f>
        <v>926</v>
      </c>
      <c r="H21" s="53">
        <f ca="1">SUMIFS(LookupData!J$3:J$2682,LookupData!$A$3:$A$2682,$D$4,LookupData!$B$3:$B$2682,$D$8,LookupData!$C$3:$C$2682,$A20)</f>
        <v>1301</v>
      </c>
      <c r="I21" s="30">
        <v>1301</v>
      </c>
      <c r="J21" s="30">
        <v>1301</v>
      </c>
      <c r="K21" s="43">
        <v>1301</v>
      </c>
      <c r="L21" s="148"/>
      <c r="M21" s="159"/>
      <c r="N21" s="126"/>
    </row>
    <row r="22" spans="1:16" ht="20.25" customHeight="1" thickBot="1" x14ac:dyDescent="0.25">
      <c r="A22" s="115"/>
      <c r="B22" s="116"/>
      <c r="C22" s="131" t="s">
        <v>151</v>
      </c>
      <c r="D22" s="132"/>
      <c r="E22" s="157"/>
      <c r="F22" s="158"/>
      <c r="G22" s="54">
        <f ca="1">SUMIFS(LookupData!D$3:D$2682,LookupData!$A$3:$A$2682,$D$4,LookupData!$B$3:$B$2682,$D$8,LookupData!$C$3:$C$2682,$A20)</f>
        <v>36918</v>
      </c>
      <c r="H22" s="55">
        <f ca="1">SUMIFS(LookupData!E$3:E$2682,LookupData!$A$3:$A$2682,$D$4,LookupData!$B$3:$B$2682,$D$8,LookupData!$C$3:$C$2682,$A20)</f>
        <v>36068</v>
      </c>
      <c r="I22" s="38">
        <v>35518</v>
      </c>
      <c r="J22" s="38">
        <v>35368</v>
      </c>
      <c r="K22" s="44">
        <v>35218</v>
      </c>
      <c r="L22" s="148"/>
      <c r="M22" s="159"/>
      <c r="N22" s="126"/>
    </row>
    <row r="23" spans="1:16" ht="20.25" customHeight="1" thickTop="1" thickBot="1" x14ac:dyDescent="0.25">
      <c r="A23" s="117"/>
      <c r="B23" s="118"/>
      <c r="C23" s="131" t="s">
        <v>152</v>
      </c>
      <c r="D23" s="132"/>
      <c r="E23" s="157"/>
      <c r="F23" s="158"/>
      <c r="G23" s="71">
        <f t="shared" ref="G23:H23" ca="1" si="4">IFERROR(IF(G22=0,1,ROUND(G21/G22,4)),0)</f>
        <v>2.5100000000000001E-2</v>
      </c>
      <c r="H23" s="77">
        <f t="shared" ca="1" si="4"/>
        <v>3.61E-2</v>
      </c>
      <c r="I23" s="77">
        <f t="shared" ref="I23:K23" si="5">IFERROR(IF(I22=0,1,ROUND(I21/I22,4)),0)</f>
        <v>3.6600000000000001E-2</v>
      </c>
      <c r="J23" s="77">
        <f t="shared" si="5"/>
        <v>3.6799999999999999E-2</v>
      </c>
      <c r="K23" s="78">
        <f t="shared" si="5"/>
        <v>3.6900000000000002E-2</v>
      </c>
      <c r="L23" s="148"/>
      <c r="M23" s="159"/>
      <c r="N23" s="126"/>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1014.45</v>
      </c>
      <c r="I25" s="30">
        <v>1214.45</v>
      </c>
      <c r="J25" s="30">
        <v>1264.45</v>
      </c>
      <c r="K25" s="30">
        <v>1264.45</v>
      </c>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26413.45</v>
      </c>
      <c r="I26" s="38">
        <v>25663.45</v>
      </c>
      <c r="J26" s="38">
        <v>25363.45</v>
      </c>
      <c r="K26" s="38">
        <v>25313.45</v>
      </c>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3.8399999999999997E-2</v>
      </c>
      <c r="I27" s="75">
        <f t="shared" ref="I27:L27" si="7">IFERROR(IF(I26=0,1,ROUND(I25/I26,4)),0)</f>
        <v>4.7300000000000002E-2</v>
      </c>
      <c r="J27" s="75">
        <f t="shared" si="7"/>
        <v>4.99E-2</v>
      </c>
      <c r="K27" s="75">
        <f t="shared" si="7"/>
        <v>0.05</v>
      </c>
      <c r="L27" s="76">
        <f t="shared" si="7"/>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1043.0999999999999</v>
      </c>
      <c r="J29" s="30">
        <v>1393.1</v>
      </c>
      <c r="K29" s="30">
        <v>1481.1</v>
      </c>
      <c r="L29" s="43"/>
      <c r="M29" s="157"/>
      <c r="N29" s="191"/>
      <c r="O29"/>
      <c r="P29"/>
    </row>
    <row r="30" spans="1:16" ht="20.25" customHeight="1" thickBot="1" x14ac:dyDescent="0.25">
      <c r="A30" s="115"/>
      <c r="B30" s="116"/>
      <c r="C30" s="131" t="s">
        <v>151</v>
      </c>
      <c r="D30" s="132"/>
      <c r="E30" s="148"/>
      <c r="F30" s="149"/>
      <c r="G30" s="149"/>
      <c r="H30" s="150"/>
      <c r="I30" s="37">
        <v>25844.1</v>
      </c>
      <c r="J30" s="38">
        <v>24744.1</v>
      </c>
      <c r="K30" s="38">
        <v>24394.1</v>
      </c>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4.0399999999999998E-2</v>
      </c>
      <c r="J31" s="75">
        <f t="shared" si="8"/>
        <v>5.6300000000000003E-2</v>
      </c>
      <c r="K31" s="75">
        <f t="shared" si="8"/>
        <v>6.0699999999999997E-2</v>
      </c>
      <c r="L31" s="74">
        <f t="shared" si="8"/>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792.9</v>
      </c>
      <c r="K33" s="30">
        <v>892.9</v>
      </c>
      <c r="L33" s="48"/>
      <c r="M33" s="181"/>
      <c r="N33" s="182"/>
      <c r="O33"/>
      <c r="P33"/>
    </row>
    <row r="34" spans="1:16" ht="20.25" customHeight="1" thickBot="1" x14ac:dyDescent="0.25">
      <c r="A34" s="139"/>
      <c r="B34" s="140"/>
      <c r="C34" s="131" t="s">
        <v>151</v>
      </c>
      <c r="D34" s="132"/>
      <c r="E34" s="148"/>
      <c r="F34" s="149"/>
      <c r="G34" s="149"/>
      <c r="H34" s="149"/>
      <c r="I34" s="150"/>
      <c r="J34" s="37">
        <v>21028.9</v>
      </c>
      <c r="K34" s="38">
        <v>19478.900000000001</v>
      </c>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3.7699999999999997E-2</v>
      </c>
      <c r="K35" s="75">
        <f t="shared" si="9"/>
        <v>4.58E-2</v>
      </c>
      <c r="L35" s="74">
        <f t="shared" si="9"/>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v>539.65</v>
      </c>
      <c r="L37" s="30"/>
      <c r="M37" s="187"/>
      <c r="N37" s="188"/>
      <c r="O37"/>
      <c r="P37"/>
    </row>
    <row r="38" spans="1:16" ht="20.25" customHeight="1" thickBot="1" x14ac:dyDescent="0.25">
      <c r="A38" s="115"/>
      <c r="B38" s="116"/>
      <c r="C38" s="131" t="s">
        <v>151</v>
      </c>
      <c r="D38" s="132"/>
      <c r="E38" s="148"/>
      <c r="F38" s="149"/>
      <c r="G38" s="149"/>
      <c r="H38" s="149"/>
      <c r="I38" s="149"/>
      <c r="J38" s="150"/>
      <c r="K38" s="37">
        <v>33640.65</v>
      </c>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1.6E-2</v>
      </c>
      <c r="L39" s="74">
        <f t="shared" si="10"/>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sz0zsQlT8ednm6tn6nnCKYKDtm0kzLf3TGBN9kEqvBGjXZe0eQ70iTlhs62z0zCF7xgZJ5FBtb8Ocn9wy6oWOg==" saltValue="Zcfx9Q3RFKzrf4DsS2Cr8Q=="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137" priority="25">
      <formula>F14&gt;(MIN($E14:E14))</formula>
    </cfRule>
  </conditionalFormatting>
  <conditionalFormatting sqref="F13:I13">
    <cfRule type="expression" dxfId="136" priority="24">
      <formula>F13&lt;(MAX($E13:E13))</formula>
    </cfRule>
  </conditionalFormatting>
  <conditionalFormatting sqref="G17:J17">
    <cfRule type="expression" dxfId="135" priority="23">
      <formula>G17&lt;(MAX($F17:F17))</formula>
    </cfRule>
  </conditionalFormatting>
  <conditionalFormatting sqref="G18:J18">
    <cfRule type="expression" dxfId="134" priority="22">
      <formula>G18&gt;(MIN($F18:F18))</formula>
    </cfRule>
  </conditionalFormatting>
  <conditionalFormatting sqref="H22:K22">
    <cfRule type="expression" dxfId="133" priority="21">
      <formula>H22&gt;(MIN($G22:G22))</formula>
    </cfRule>
  </conditionalFormatting>
  <conditionalFormatting sqref="H21:K21">
    <cfRule type="expression" dxfId="132" priority="20">
      <formula>H21&lt;(MAX($G21:G21))</formula>
    </cfRule>
  </conditionalFormatting>
  <conditionalFormatting sqref="I26:L26">
    <cfRule type="expression" dxfId="131" priority="19">
      <formula>I26&gt;(MIN($H26:H26))</formula>
    </cfRule>
  </conditionalFormatting>
  <conditionalFormatting sqref="I25:L25">
    <cfRule type="expression" dxfId="130" priority="18">
      <formula>I25&lt;(MAX($H25:H25))</formula>
    </cfRule>
  </conditionalFormatting>
  <conditionalFormatting sqref="J30:L30">
    <cfRule type="expression" dxfId="129" priority="17">
      <formula>J30&gt;(MIN($I30:I30))</formula>
    </cfRule>
  </conditionalFormatting>
  <conditionalFormatting sqref="J29:L29">
    <cfRule type="expression" dxfId="128" priority="16">
      <formula>J29&lt;(MAX($I29:I29))</formula>
    </cfRule>
  </conditionalFormatting>
  <conditionalFormatting sqref="K34:L34">
    <cfRule type="expression" dxfId="127" priority="15">
      <formula>K34&gt;(MIN($J34:J34))</formula>
    </cfRule>
  </conditionalFormatting>
  <conditionalFormatting sqref="K33:L33">
    <cfRule type="expression" dxfId="126" priority="14">
      <formula>K33&lt;(MAX($J33:J33))</formula>
    </cfRule>
  </conditionalFormatting>
  <conditionalFormatting sqref="L38">
    <cfRule type="expression" dxfId="125" priority="13">
      <formula>L38&gt;(MIN($G38:K38))</formula>
    </cfRule>
  </conditionalFormatting>
  <conditionalFormatting sqref="L37">
    <cfRule type="expression" dxfId="124" priority="12">
      <formula>L37&lt;(MAX($K37:K37))</formula>
    </cfRule>
  </conditionalFormatting>
  <conditionalFormatting sqref="I15 J19 K23 L27">
    <cfRule type="expression" dxfId="123" priority="11">
      <formula>I15&lt;$H$8</formula>
    </cfRule>
  </conditionalFormatting>
  <conditionalFormatting sqref="M16:N19">
    <cfRule type="expression" dxfId="122" priority="5">
      <formula>$J$19&lt;$H$8</formula>
    </cfRule>
  </conditionalFormatting>
  <conditionalFormatting sqref="M20:M23">
    <cfRule type="expression" dxfId="121" priority="4">
      <formula>$K$23&lt;$H$8</formula>
    </cfRule>
  </conditionalFormatting>
  <conditionalFormatting sqref="M24:N27">
    <cfRule type="expression" dxfId="120" priority="3">
      <formula>$L$27&lt;$H$8</formula>
    </cfRule>
  </conditionalFormatting>
  <conditionalFormatting sqref="M12:N15">
    <cfRule type="expression" dxfId="119" priority="2">
      <formula>$I$15&lt;$H$8</formula>
    </cfRule>
  </conditionalFormatting>
  <conditionalFormatting sqref="N20:N23">
    <cfRule type="expression" dxfId="0"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8" zoomScale="85" zoomScaleNormal="85" zoomScaleSheetLayoutView="75" zoomScalePageLayoutView="75" workbookViewId="0">
      <selection activeCell="L25" sqref="L2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3: Apr - Jun</v>
      </c>
      <c r="I4"/>
      <c r="K4" s="32" t="s">
        <v>1</v>
      </c>
      <c r="L4" s="79">
        <f>'Circuit Criminal'!L4</f>
        <v>2</v>
      </c>
      <c r="N4" s="121" t="str">
        <f>'Circuit Criminal'!N4</f>
        <v>CCOC Form Version 2
Revised 1/18/19</v>
      </c>
    </row>
    <row r="5" spans="1:14" ht="24" customHeight="1" thickBot="1" x14ac:dyDescent="0.25">
      <c r="A5" s="8"/>
      <c r="C5" s="32" t="s">
        <v>68</v>
      </c>
      <c r="D5" s="112" t="str">
        <f>'Circuit Criminal'!D5</f>
        <v>Michelle Levar</v>
      </c>
      <c r="E5" s="112"/>
      <c r="F5" s="9"/>
      <c r="N5" s="122"/>
    </row>
    <row r="6" spans="1:14" ht="24" customHeight="1" x14ac:dyDescent="0.2">
      <c r="A6" s="8"/>
      <c r="C6" s="32" t="s">
        <v>69</v>
      </c>
      <c r="D6" s="111" t="str">
        <f>'Circuit Criminal'!D6</f>
        <v>michell.levar@brevardclerk.us</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Criminal Traffic</v>
      </c>
      <c r="E8" s="10"/>
      <c r="F8" s="127" t="s">
        <v>137</v>
      </c>
      <c r="G8" s="127"/>
      <c r="H8" s="102">
        <f ca="1">INDEX(LookupData!AA3:AA12,MATCH(D8,LookupData!Z3:Z12,0))</f>
        <v>0.4</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142119.42000000001</v>
      </c>
      <c r="F13" s="53">
        <f ca="1">SUMIFS(LookupData!J$3:J$2682,LookupData!$A$3:$A$2682,$D$4,LookupData!$B$3:$B$2682,$D$8,LookupData!$C$3:$C$2682,$A12)</f>
        <v>240950.6</v>
      </c>
      <c r="G13" s="53">
        <f ca="1">SUMIFS(LookupData!K$3:K$2682,LookupData!$A$3:$A$2682,$D$4,LookupData!$B$3:$B$2682,$D$8,LookupData!$C$3:$C$2682,$A12)</f>
        <v>310633.63</v>
      </c>
      <c r="H13" s="53">
        <f ca="1">SUMIFS(LookupData!L$3:L$2682,LookupData!$A$3:$A$2682,$D$4,LookupData!$B$3:$B$2682,$D$8,LookupData!$C$3:$C$2682,$A12)</f>
        <v>354942.94</v>
      </c>
      <c r="I13" s="43">
        <v>385877.2</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709701.7</v>
      </c>
      <c r="F14" s="55">
        <f ca="1">SUMIFS(LookupData!E$3:E$2682,LookupData!$A$3:$A$2682,$D$4,LookupData!$B$3:$B$2682,$D$8,LookupData!$C$3:$C$2682,$A12)</f>
        <v>704213.53</v>
      </c>
      <c r="G14" s="55">
        <f ca="1">SUMIFS(LookupData!F$3:F$2682,LookupData!$A$3:$A$2682,$D$4,LookupData!$B$3:$B$2682,$D$8,LookupData!$C$3:$C$2682,$A12)</f>
        <v>699185.53</v>
      </c>
      <c r="H14" s="55">
        <f ca="1">SUMIFS(LookupData!G$3:G$2682,LookupData!$A$3:$A$2682,$D$4,LookupData!$B$3:$B$2682,$D$8,LookupData!$C$3:$C$2682,$A12)</f>
        <v>697866.53</v>
      </c>
      <c r="I14" s="44">
        <v>697048.53</v>
      </c>
      <c r="J14" s="134"/>
      <c r="K14" s="134"/>
      <c r="L14" s="134"/>
      <c r="M14" s="124"/>
      <c r="N14" s="126"/>
    </row>
    <row r="15" spans="1:14" ht="19.5" customHeight="1" thickTop="1" thickBot="1" x14ac:dyDescent="0.25">
      <c r="A15" s="117"/>
      <c r="B15" s="118"/>
      <c r="C15" s="131" t="s">
        <v>152</v>
      </c>
      <c r="D15" s="132"/>
      <c r="E15" s="71">
        <f ca="1">IFERROR(IF(E14=0,1,ROUND(E13/E14,4)),0)</f>
        <v>0.20030000000000001</v>
      </c>
      <c r="F15" s="77">
        <f t="shared" ref="F15:H15" ca="1" si="0">IFERROR(IF(F14=0,1,ROUND(F13/F14,4)),0)</f>
        <v>0.3422</v>
      </c>
      <c r="G15" s="77">
        <f t="shared" ca="1" si="0"/>
        <v>0.44429999999999997</v>
      </c>
      <c r="H15" s="77">
        <f t="shared" ca="1" si="0"/>
        <v>0.50860000000000005</v>
      </c>
      <c r="I15" s="78">
        <f t="shared" ref="I15" si="1">IFERROR(IF(I14=0,1,ROUND(I13/I14,4)),0)</f>
        <v>0.55359999999999998</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170793.61</v>
      </c>
      <c r="G17" s="53">
        <f ca="1">SUMIFS(LookupData!J$3:J$2682,LookupData!$A$3:$A$2682,$D$4,LookupData!$B$3:$B$2682,$D$8,LookupData!$C$3:$C$2682,$A16)</f>
        <v>243384.69</v>
      </c>
      <c r="H17" s="53">
        <f ca="1">SUMIFS(LookupData!K$3:K$2682,LookupData!$A$3:$A$2682,$D$4,LookupData!$B$3:$B$2682,$D$8,LookupData!$C$3:$C$2682,$A16)</f>
        <v>303743.24</v>
      </c>
      <c r="I17" s="30">
        <v>354371.55</v>
      </c>
      <c r="J17" s="43">
        <v>414266.75</v>
      </c>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735151.2</v>
      </c>
      <c r="G18" s="55">
        <f ca="1">SUMIFS(LookupData!E$3:E$2682,LookupData!$A$3:$A$2682,$D$4,LookupData!$B$3:$B$2682,$D$8,LookupData!$C$3:$C$2682,$A16)</f>
        <v>727577.2</v>
      </c>
      <c r="H18" s="55">
        <f ca="1">SUMIFS(LookupData!F$3:F$2682,LookupData!$A$3:$A$2682,$D$4,LookupData!$B$3:$B$2682,$D$8,LookupData!$C$3:$C$2682,$A16)</f>
        <v>724250.2</v>
      </c>
      <c r="I18" s="38">
        <v>722432.2</v>
      </c>
      <c r="J18" s="44">
        <v>721587.19999999995</v>
      </c>
      <c r="K18" s="148"/>
      <c r="L18" s="150"/>
      <c r="M18" s="159"/>
      <c r="N18" s="160"/>
    </row>
    <row r="19" spans="1:16" ht="20.25" customHeight="1" thickTop="1" thickBot="1" x14ac:dyDescent="0.25">
      <c r="A19" s="141"/>
      <c r="B19" s="142"/>
      <c r="C19" s="143" t="s">
        <v>152</v>
      </c>
      <c r="D19" s="144"/>
      <c r="E19" s="156"/>
      <c r="F19" s="73">
        <f ca="1">IFERROR(IF(F18=0,1,ROUND(F17/F18,4)),0)</f>
        <v>0.23230000000000001</v>
      </c>
      <c r="G19" s="75">
        <f t="shared" ref="G19:H19" ca="1" si="2">IFERROR(IF(G18=0,1,ROUND(G17/G18,4)),0)</f>
        <v>0.33450000000000002</v>
      </c>
      <c r="H19" s="75">
        <f t="shared" ca="1" si="2"/>
        <v>0.4194</v>
      </c>
      <c r="I19" s="75">
        <f t="shared" ref="I19:J19" si="3">IFERROR(IF(I18=0,1,ROUND(I17/I18,4)),0)</f>
        <v>0.49049999999999999</v>
      </c>
      <c r="J19" s="76">
        <f t="shared" si="3"/>
        <v>0.57410000000000005</v>
      </c>
      <c r="K19" s="151"/>
      <c r="L19" s="153"/>
      <c r="M19" s="159"/>
      <c r="N19" s="160"/>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142812.13</v>
      </c>
      <c r="H21" s="53">
        <f ca="1">SUMIFS(LookupData!J$3:J$2682,LookupData!$A$3:$A$2682,$D$4,LookupData!$B$3:$B$2682,$D$8,LookupData!$C$3:$C$2682,$A20)</f>
        <v>216008.62</v>
      </c>
      <c r="I21" s="30">
        <v>279000.71000000002</v>
      </c>
      <c r="J21" s="30">
        <v>352366.35</v>
      </c>
      <c r="K21" s="43">
        <v>403712.08</v>
      </c>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763209.25</v>
      </c>
      <c r="H22" s="55">
        <f ca="1">SUMIFS(LookupData!E$3:E$2682,LookupData!$A$3:$A$2682,$D$4,LookupData!$B$3:$B$2682,$D$8,LookupData!$C$3:$C$2682,$A20)</f>
        <v>756733.25</v>
      </c>
      <c r="I22" s="38">
        <v>749104.25</v>
      </c>
      <c r="J22" s="38">
        <v>746571.25</v>
      </c>
      <c r="K22" s="44">
        <v>745929.25</v>
      </c>
      <c r="L22" s="148"/>
      <c r="M22" s="159"/>
      <c r="N22" s="160"/>
    </row>
    <row r="23" spans="1:16" ht="20.25" customHeight="1" thickTop="1" thickBot="1" x14ac:dyDescent="0.25">
      <c r="A23" s="117"/>
      <c r="B23" s="118"/>
      <c r="C23" s="131" t="s">
        <v>152</v>
      </c>
      <c r="D23" s="132"/>
      <c r="E23" s="157"/>
      <c r="F23" s="158"/>
      <c r="G23" s="71">
        <f t="shared" ref="G23:H23" ca="1" si="4">IFERROR(IF(G22=0,1,ROUND(G21/G22,4)),0)</f>
        <v>0.18709999999999999</v>
      </c>
      <c r="H23" s="77">
        <f t="shared" ca="1" si="4"/>
        <v>0.28539999999999999</v>
      </c>
      <c r="I23" s="77">
        <f t="shared" ref="I23:K23" si="5">IFERROR(IF(I22=0,1,ROUND(I21/I22,4)),0)</f>
        <v>0.37240000000000001</v>
      </c>
      <c r="J23" s="77">
        <f t="shared" si="5"/>
        <v>0.47199999999999998</v>
      </c>
      <c r="K23" s="78">
        <f t="shared" si="5"/>
        <v>0.54120000000000001</v>
      </c>
      <c r="L23" s="148"/>
      <c r="M23" s="159"/>
      <c r="N23" s="160"/>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137486.17000000001</v>
      </c>
      <c r="I25" s="30">
        <v>207485.2</v>
      </c>
      <c r="J25" s="30">
        <v>284365.27</v>
      </c>
      <c r="K25" s="30">
        <v>343468.636</v>
      </c>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696790.6</v>
      </c>
      <c r="I26" s="38">
        <v>691202.6</v>
      </c>
      <c r="J26" s="38">
        <v>682152.6</v>
      </c>
      <c r="K26" s="38">
        <v>679979.6</v>
      </c>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0.1973</v>
      </c>
      <c r="I27" s="75">
        <f t="shared" ref="I27:L27" si="7">IFERROR(IF(I26=0,1,ROUND(I25/I26,4)),0)</f>
        <v>0.30020000000000002</v>
      </c>
      <c r="J27" s="75">
        <f t="shared" si="7"/>
        <v>0.41689999999999999</v>
      </c>
      <c r="K27" s="75">
        <f t="shared" si="7"/>
        <v>0.50509999999999999</v>
      </c>
      <c r="L27" s="76">
        <f t="shared" si="7"/>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120599.44</v>
      </c>
      <c r="J29" s="30">
        <v>194386.76</v>
      </c>
      <c r="K29" s="30">
        <v>250781.63</v>
      </c>
      <c r="L29" s="43"/>
      <c r="M29" s="157"/>
      <c r="N29" s="191"/>
      <c r="O29"/>
      <c r="P29"/>
    </row>
    <row r="30" spans="1:16" ht="20.25" customHeight="1" thickBot="1" x14ac:dyDescent="0.25">
      <c r="A30" s="115"/>
      <c r="B30" s="116"/>
      <c r="C30" s="131" t="s">
        <v>151</v>
      </c>
      <c r="D30" s="132"/>
      <c r="E30" s="148"/>
      <c r="F30" s="149"/>
      <c r="G30" s="149"/>
      <c r="H30" s="150"/>
      <c r="I30" s="37">
        <v>606334.75</v>
      </c>
      <c r="J30" s="38">
        <v>598148.75</v>
      </c>
      <c r="K30" s="38">
        <v>589879.25</v>
      </c>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0.19889999999999999</v>
      </c>
      <c r="J31" s="75">
        <f t="shared" si="8"/>
        <v>0.32500000000000001</v>
      </c>
      <c r="K31" s="75">
        <f t="shared" si="8"/>
        <v>0.42509999999999998</v>
      </c>
      <c r="L31" s="74">
        <f t="shared" si="8"/>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146834.54999999999</v>
      </c>
      <c r="K33" s="30">
        <v>200797.26</v>
      </c>
      <c r="L33" s="48"/>
      <c r="M33" s="181"/>
      <c r="N33" s="182"/>
      <c r="O33"/>
      <c r="P33"/>
    </row>
    <row r="34" spans="1:16" ht="20.25" customHeight="1" thickBot="1" x14ac:dyDescent="0.25">
      <c r="A34" s="139"/>
      <c r="B34" s="140"/>
      <c r="C34" s="131" t="s">
        <v>151</v>
      </c>
      <c r="D34" s="132"/>
      <c r="E34" s="148"/>
      <c r="F34" s="149"/>
      <c r="G34" s="149"/>
      <c r="H34" s="149"/>
      <c r="I34" s="150"/>
      <c r="J34" s="37">
        <v>606610.9</v>
      </c>
      <c r="K34" s="38">
        <v>600360.9</v>
      </c>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0.24210000000000001</v>
      </c>
      <c r="K35" s="75">
        <f t="shared" si="9"/>
        <v>0.33450000000000002</v>
      </c>
      <c r="L35" s="74">
        <f t="shared" si="9"/>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v>140868.96</v>
      </c>
      <c r="L37" s="30"/>
      <c r="M37" s="187"/>
      <c r="N37" s="188"/>
      <c r="O37"/>
      <c r="P37"/>
    </row>
    <row r="38" spans="1:16" ht="20.25" customHeight="1" thickBot="1" x14ac:dyDescent="0.25">
      <c r="A38" s="115"/>
      <c r="B38" s="116"/>
      <c r="C38" s="131" t="s">
        <v>151</v>
      </c>
      <c r="D38" s="132"/>
      <c r="E38" s="148"/>
      <c r="F38" s="149"/>
      <c r="G38" s="149"/>
      <c r="H38" s="149"/>
      <c r="I38" s="149"/>
      <c r="J38" s="150"/>
      <c r="K38" s="37">
        <v>674003.75</v>
      </c>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0.20899999999999999</v>
      </c>
      <c r="L39" s="74">
        <f t="shared" si="10"/>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AvgArjHsR41pE3n2sxNauDEO1TGFGomR4joVorBK/62WnhVukodAMrZ5KdKg79Gspb+yQ1voH9Z7DkksmBxrJQ==" saltValue="8Ei0fQjuVWvfiGdvpBJQrQ=="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118" priority="24">
      <formula>F14&gt;(MIN($E14:E14))</formula>
    </cfRule>
  </conditionalFormatting>
  <conditionalFormatting sqref="F13:I13">
    <cfRule type="expression" dxfId="117" priority="23">
      <formula>F13&lt;(MAX($E13:E13))</formula>
    </cfRule>
  </conditionalFormatting>
  <conditionalFormatting sqref="G17:J17">
    <cfRule type="expression" dxfId="116" priority="22">
      <formula>G17&lt;(MAX($F17:F17))</formula>
    </cfRule>
  </conditionalFormatting>
  <conditionalFormatting sqref="G18:J18">
    <cfRule type="expression" dxfId="115" priority="21">
      <formula>G18&gt;(MIN($F18:F18))</formula>
    </cfRule>
  </conditionalFormatting>
  <conditionalFormatting sqref="H22:K22">
    <cfRule type="expression" dxfId="114" priority="20">
      <formula>H22&gt;(MIN($G22:G22))</formula>
    </cfRule>
  </conditionalFormatting>
  <conditionalFormatting sqref="H21:K21">
    <cfRule type="expression" dxfId="113" priority="19">
      <formula>H21&lt;(MAX($G21:G21))</formula>
    </cfRule>
  </conditionalFormatting>
  <conditionalFormatting sqref="I26:L26">
    <cfRule type="expression" dxfId="112" priority="18">
      <formula>I26&gt;(MIN($H26:H26))</formula>
    </cfRule>
  </conditionalFormatting>
  <conditionalFormatting sqref="I25:L25">
    <cfRule type="expression" dxfId="111" priority="17">
      <formula>I25&lt;(MAX($H25:H25))</formula>
    </cfRule>
  </conditionalFormatting>
  <conditionalFormatting sqref="J30:L30">
    <cfRule type="expression" dxfId="110" priority="16">
      <formula>J30&gt;(MIN($I30:I30))</formula>
    </cfRule>
  </conditionalFormatting>
  <conditionalFormatting sqref="J29:L29">
    <cfRule type="expression" dxfId="109" priority="15">
      <formula>J29&lt;(MAX($I29:I29))</formula>
    </cfRule>
  </conditionalFormatting>
  <conditionalFormatting sqref="K34:L34">
    <cfRule type="expression" dxfId="108" priority="14">
      <formula>K34&gt;(MIN($J34:J34))</formula>
    </cfRule>
  </conditionalFormatting>
  <conditionalFormatting sqref="K33:L33">
    <cfRule type="expression" dxfId="107" priority="13">
      <formula>K33&lt;(MAX($J33:J33))</formula>
    </cfRule>
  </conditionalFormatting>
  <conditionalFormatting sqref="L38">
    <cfRule type="expression" dxfId="106" priority="12">
      <formula>L38&gt;(MIN($G38:K38))</formula>
    </cfRule>
  </conditionalFormatting>
  <conditionalFormatting sqref="L37">
    <cfRule type="expression" dxfId="105" priority="11">
      <formula>L37&lt;(MAX($K37:K37))</formula>
    </cfRule>
  </conditionalFormatting>
  <conditionalFormatting sqref="I15 J19 K23 L27">
    <cfRule type="expression" dxfId="104" priority="10">
      <formula>I15&lt;$H$8</formula>
    </cfRule>
  </conditionalFormatting>
  <conditionalFormatting sqref="M16:N19">
    <cfRule type="expression" dxfId="103" priority="4">
      <formula>$J$19&lt;$H$8</formula>
    </cfRule>
  </conditionalFormatting>
  <conditionalFormatting sqref="M20:N23">
    <cfRule type="expression" dxfId="102" priority="3">
      <formula>$K$23&lt;$H$8</formula>
    </cfRule>
  </conditionalFormatting>
  <conditionalFormatting sqref="M24:N27">
    <cfRule type="expression" dxfId="101" priority="2">
      <formula>$L$27&lt;$H$8</formula>
    </cfRule>
  </conditionalFormatting>
  <conditionalFormatting sqref="M12:N15">
    <cfRule type="expression" dxfId="100"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3" zoomScale="85" zoomScaleNormal="85" zoomScaleSheetLayoutView="75" zoomScalePageLayoutView="75" workbookViewId="0">
      <selection activeCell="L25" sqref="L2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3: Apr - Jun</v>
      </c>
      <c r="I4"/>
      <c r="K4" s="32" t="s">
        <v>1</v>
      </c>
      <c r="L4" s="79">
        <f>'Circuit Criminal'!L4</f>
        <v>2</v>
      </c>
      <c r="N4" s="121" t="str">
        <f>'Circuit Criminal'!N4</f>
        <v>CCOC Form Version 2
Revised 1/18/19</v>
      </c>
    </row>
    <row r="5" spans="1:14" ht="24" customHeight="1" thickBot="1" x14ac:dyDescent="0.25">
      <c r="A5" s="8"/>
      <c r="C5" s="32" t="s">
        <v>68</v>
      </c>
      <c r="D5" s="112" t="str">
        <f>'Circuit Criminal'!D5</f>
        <v>Michelle Levar</v>
      </c>
      <c r="E5" s="112"/>
      <c r="F5" s="9"/>
      <c r="N5" s="122"/>
    </row>
    <row r="6" spans="1:14" ht="24" customHeight="1" x14ac:dyDescent="0.2">
      <c r="A6" s="8"/>
      <c r="C6" s="32" t="s">
        <v>69</v>
      </c>
      <c r="D6" s="111" t="str">
        <f>'Circuit Criminal'!D6</f>
        <v>michell.levar@brevardclerk.us</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Circuit Civil</v>
      </c>
      <c r="E8" s="10"/>
      <c r="F8" s="127" t="s">
        <v>137</v>
      </c>
      <c r="G8" s="127"/>
      <c r="H8" s="102">
        <f ca="1">INDEX(LookupData!AA3:AA12,MATCH(D8,LookupData!Z3:Z12,0))</f>
        <v>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t="s">
        <v>155</v>
      </c>
      <c r="N12" s="125" t="s">
        <v>235</v>
      </c>
    </row>
    <row r="13" spans="1:14" ht="19.5" customHeight="1" x14ac:dyDescent="0.2">
      <c r="A13" s="115"/>
      <c r="B13" s="116"/>
      <c r="C13" s="131" t="s">
        <v>150</v>
      </c>
      <c r="D13" s="132"/>
      <c r="E13" s="52">
        <f ca="1">SUMIFS(LookupData!I$3:I$2682,LookupData!$A$3:$A$2682,$D$4,LookupData!$B$3:$B$2682,$D$8,LookupData!$C$3:$C$2682,$A12)</f>
        <v>365931.24</v>
      </c>
      <c r="F13" s="53">
        <f ca="1">SUMIFS(LookupData!J$3:J$2682,LookupData!$A$3:$A$2682,$D$4,LookupData!$B$3:$B$2682,$D$8,LookupData!$C$3:$C$2682,$A12)</f>
        <v>407324.09</v>
      </c>
      <c r="G13" s="53">
        <f ca="1">SUMIFS(LookupData!K$3:K$2682,LookupData!$A$3:$A$2682,$D$4,LookupData!$B$3:$B$2682,$D$8,LookupData!$C$3:$C$2682,$A12)</f>
        <v>407803.31</v>
      </c>
      <c r="H13" s="53">
        <f ca="1">SUMIFS(LookupData!L$3:L$2682,LookupData!$A$3:$A$2682,$D$4,LookupData!$B$3:$B$2682,$D$8,LookupData!$C$3:$C$2682,$A12)</f>
        <v>405610.31</v>
      </c>
      <c r="I13" s="43">
        <v>405620.11</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411850.29</v>
      </c>
      <c r="F14" s="55">
        <f ca="1">SUMIFS(LookupData!E$3:E$2682,LookupData!$A$3:$A$2682,$D$4,LookupData!$B$3:$B$2682,$D$8,LookupData!$C$3:$C$2682,$A12)</f>
        <v>411750.29</v>
      </c>
      <c r="G14" s="55">
        <f ca="1">SUMIFS(LookupData!F$3:F$2682,LookupData!$A$3:$A$2682,$D$4,LookupData!$B$3:$B$2682,$D$8,LookupData!$C$3:$C$2682,$A12)</f>
        <v>411750.29</v>
      </c>
      <c r="H14" s="55">
        <f ca="1">SUMIFS(LookupData!G$3:G$2682,LookupData!$A$3:$A$2682,$D$4,LookupData!$B$3:$B$2682,$D$8,LookupData!$C$3:$C$2682,$A12)</f>
        <v>411650.29</v>
      </c>
      <c r="I14" s="44">
        <v>411650.29</v>
      </c>
      <c r="J14" s="134"/>
      <c r="K14" s="134"/>
      <c r="L14" s="134"/>
      <c r="M14" s="124"/>
      <c r="N14" s="126"/>
    </row>
    <row r="15" spans="1:14" ht="19.5" customHeight="1" thickTop="1" thickBot="1" x14ac:dyDescent="0.25">
      <c r="A15" s="117"/>
      <c r="B15" s="118"/>
      <c r="C15" s="131" t="s">
        <v>152</v>
      </c>
      <c r="D15" s="132"/>
      <c r="E15" s="71">
        <f ca="1">IFERROR(IF(E14=0,1,ROUND(E13/E14,4)),0)</f>
        <v>0.88849999999999996</v>
      </c>
      <c r="F15" s="77">
        <f t="shared" ref="F15:H15" ca="1" si="0">IFERROR(IF(F14=0,1,ROUND(F13/F14,4)),0)</f>
        <v>0.98929999999999996</v>
      </c>
      <c r="G15" s="77">
        <f t="shared" ca="1" si="0"/>
        <v>0.99039999999999995</v>
      </c>
      <c r="H15" s="77">
        <f t="shared" ca="1" si="0"/>
        <v>0.98529999999999995</v>
      </c>
      <c r="I15" s="78">
        <f t="shared" ref="I15" si="1">IFERROR(IF(I14=0,1,ROUND(I13/I14,4)),0)</f>
        <v>0.98540000000000005</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t="s">
        <v>155</v>
      </c>
      <c r="N16" s="160" t="s">
        <v>236</v>
      </c>
    </row>
    <row r="17" spans="1:16" ht="20.25" customHeight="1" x14ac:dyDescent="0.2">
      <c r="A17" s="139"/>
      <c r="B17" s="140"/>
      <c r="C17" s="131" t="s">
        <v>150</v>
      </c>
      <c r="D17" s="132"/>
      <c r="E17" s="155"/>
      <c r="F17" s="52">
        <f ca="1">SUMIFS(LookupData!I$3:I$2682,LookupData!$A$3:$A$2682,$D$4,LookupData!$B$3:$B$2682,$D$8,LookupData!$C$3:$C$2682,$A16)</f>
        <v>624515.82999999996</v>
      </c>
      <c r="G17" s="53">
        <f ca="1">SUMIFS(LookupData!J$3:J$2682,LookupData!$A$3:$A$2682,$D$4,LookupData!$B$3:$B$2682,$D$8,LookupData!$C$3:$C$2682,$A16)</f>
        <v>641651.02</v>
      </c>
      <c r="H17" s="53">
        <f ca="1">SUMIFS(LookupData!K$3:K$2682,LookupData!$A$3:$A$2682,$D$4,LookupData!$B$3:$B$2682,$D$8,LookupData!$C$3:$C$2682,$A16)</f>
        <v>638458.17000000004</v>
      </c>
      <c r="I17" s="30">
        <v>638063.59</v>
      </c>
      <c r="J17" s="43">
        <v>637158.59</v>
      </c>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647298.68000000005</v>
      </c>
      <c r="G18" s="55">
        <f ca="1">SUMIFS(LookupData!E$3:E$2682,LookupData!$A$3:$A$2682,$D$4,LookupData!$B$3:$B$2682,$D$8,LookupData!$C$3:$C$2682,$A16)</f>
        <v>645896.68000000005</v>
      </c>
      <c r="H18" s="55">
        <f ca="1">SUMIFS(LookupData!F$3:F$2682,LookupData!$A$3:$A$2682,$D$4,LookupData!$B$3:$B$2682,$D$8,LookupData!$C$3:$C$2682,$A16)</f>
        <v>645294.68000000005</v>
      </c>
      <c r="I18" s="38">
        <v>644808.68000000005</v>
      </c>
      <c r="J18" s="44">
        <v>643902.68000000005</v>
      </c>
      <c r="K18" s="148"/>
      <c r="L18" s="150"/>
      <c r="M18" s="159"/>
      <c r="N18" s="160"/>
    </row>
    <row r="19" spans="1:16" ht="20.25" customHeight="1" thickTop="1" thickBot="1" x14ac:dyDescent="0.25">
      <c r="A19" s="141"/>
      <c r="B19" s="142"/>
      <c r="C19" s="143" t="s">
        <v>152</v>
      </c>
      <c r="D19" s="144"/>
      <c r="E19" s="156"/>
      <c r="F19" s="73">
        <f ca="1">IFERROR(IF(F18=0,1,ROUND(F17/F18,4)),0)</f>
        <v>0.96479999999999999</v>
      </c>
      <c r="G19" s="75">
        <f t="shared" ref="G19:H19" ca="1" si="2">IFERROR(IF(G18=0,1,ROUND(G17/G18,4)),0)</f>
        <v>0.99339999999999995</v>
      </c>
      <c r="H19" s="75">
        <f t="shared" ca="1" si="2"/>
        <v>0.98939999999999995</v>
      </c>
      <c r="I19" s="75">
        <f t="shared" ref="I19:J19" si="3">IFERROR(IF(I18=0,1,ROUND(I17/I18,4)),0)</f>
        <v>0.98950000000000005</v>
      </c>
      <c r="J19" s="76">
        <f t="shared" si="3"/>
        <v>0.98950000000000005</v>
      </c>
      <c r="K19" s="151"/>
      <c r="L19" s="153"/>
      <c r="M19" s="159"/>
      <c r="N19" s="160"/>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t="s">
        <v>155</v>
      </c>
      <c r="N20" s="160" t="s">
        <v>236</v>
      </c>
    </row>
    <row r="21" spans="1:16" ht="20.25" customHeight="1" x14ac:dyDescent="0.2">
      <c r="A21" s="115"/>
      <c r="B21" s="116"/>
      <c r="C21" s="131" t="s">
        <v>150</v>
      </c>
      <c r="D21" s="132"/>
      <c r="E21" s="157"/>
      <c r="F21" s="158"/>
      <c r="G21" s="52">
        <f ca="1">SUMIFS(LookupData!I$3:I$2682,LookupData!$A$3:$A$2682,$D$4,LookupData!$B$3:$B$2682,$D$8,LookupData!$C$3:$C$2682,$A20)</f>
        <v>745968.21</v>
      </c>
      <c r="H21" s="53">
        <f ca="1">SUMIFS(LookupData!J$3:J$2682,LookupData!$A$3:$A$2682,$D$4,LookupData!$B$3:$B$2682,$D$8,LookupData!$C$3:$C$2682,$A20)</f>
        <v>799699.94</v>
      </c>
      <c r="I21" s="30">
        <v>797240.71</v>
      </c>
      <c r="J21" s="30">
        <v>796365.59</v>
      </c>
      <c r="K21" s="43">
        <v>794695.67</v>
      </c>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806508.9</v>
      </c>
      <c r="H22" s="55">
        <f ca="1">SUMIFS(LookupData!E$3:E$2682,LookupData!$A$3:$A$2682,$D$4,LookupData!$B$3:$B$2682,$D$8,LookupData!$C$3:$C$2682,$A20)</f>
        <v>803842.9</v>
      </c>
      <c r="I22" s="38">
        <v>802084.9</v>
      </c>
      <c r="J22" s="38">
        <v>801178.9</v>
      </c>
      <c r="K22" s="44">
        <v>799470.9</v>
      </c>
      <c r="L22" s="148"/>
      <c r="M22" s="159"/>
      <c r="N22" s="160"/>
    </row>
    <row r="23" spans="1:16" ht="20.25" customHeight="1" thickTop="1" thickBot="1" x14ac:dyDescent="0.25">
      <c r="A23" s="117"/>
      <c r="B23" s="118"/>
      <c r="C23" s="131" t="s">
        <v>152</v>
      </c>
      <c r="D23" s="132"/>
      <c r="E23" s="157"/>
      <c r="F23" s="158"/>
      <c r="G23" s="71">
        <f t="shared" ref="G23:H23" ca="1" si="4">IFERROR(IF(G22=0,1,ROUND(G21/G22,4)),0)</f>
        <v>0.92490000000000006</v>
      </c>
      <c r="H23" s="77">
        <f t="shared" ca="1" si="4"/>
        <v>0.99480000000000002</v>
      </c>
      <c r="I23" s="77">
        <f t="shared" ref="I23:K23" si="5">IFERROR(IF(I22=0,1,ROUND(I21/I22,4)),0)</f>
        <v>0.99399999999999999</v>
      </c>
      <c r="J23" s="77">
        <f t="shared" si="5"/>
        <v>0.99399999999999999</v>
      </c>
      <c r="K23" s="78">
        <f t="shared" si="5"/>
        <v>0.99399999999999999</v>
      </c>
      <c r="L23" s="148"/>
      <c r="M23" s="159"/>
      <c r="N23" s="160"/>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844035.4</v>
      </c>
      <c r="I25" s="30">
        <v>888542.27</v>
      </c>
      <c r="J25" s="30">
        <v>887317.8</v>
      </c>
      <c r="K25" s="30">
        <v>884540.07</v>
      </c>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906447.35</v>
      </c>
      <c r="I26" s="38">
        <v>905961.35</v>
      </c>
      <c r="J26" s="38">
        <v>903253.35</v>
      </c>
      <c r="K26" s="38">
        <v>900441.35</v>
      </c>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0.93110000000000004</v>
      </c>
      <c r="I27" s="75">
        <f t="shared" ref="I27:L27" si="7">IFERROR(IF(I26=0,1,ROUND(I25/I26,4)),0)</f>
        <v>0.98080000000000001</v>
      </c>
      <c r="J27" s="75">
        <f t="shared" si="7"/>
        <v>0.98240000000000005</v>
      </c>
      <c r="K27" s="75">
        <f t="shared" si="7"/>
        <v>0.98229999999999995</v>
      </c>
      <c r="L27" s="76">
        <f t="shared" si="7"/>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607637.35</v>
      </c>
      <c r="J29" s="30">
        <v>637728.87</v>
      </c>
      <c r="K29" s="30">
        <v>636061.68000000005</v>
      </c>
      <c r="L29" s="43"/>
      <c r="M29" s="157"/>
      <c r="N29" s="191"/>
      <c r="O29"/>
      <c r="P29"/>
    </row>
    <row r="30" spans="1:16" ht="20.25" customHeight="1" thickBot="1" x14ac:dyDescent="0.25">
      <c r="A30" s="115"/>
      <c r="B30" s="116"/>
      <c r="C30" s="131" t="s">
        <v>151</v>
      </c>
      <c r="D30" s="132"/>
      <c r="E30" s="148"/>
      <c r="F30" s="149"/>
      <c r="G30" s="149"/>
      <c r="H30" s="150"/>
      <c r="I30" s="37">
        <v>650412.29</v>
      </c>
      <c r="J30" s="38">
        <v>650412.29</v>
      </c>
      <c r="K30" s="38">
        <v>648704.29</v>
      </c>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0.93420000000000003</v>
      </c>
      <c r="J31" s="75">
        <f t="shared" si="8"/>
        <v>0.98050000000000004</v>
      </c>
      <c r="K31" s="75">
        <f t="shared" si="8"/>
        <v>0.98050000000000004</v>
      </c>
      <c r="L31" s="74">
        <f t="shared" si="8"/>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644896.30000000005</v>
      </c>
      <c r="K33" s="30">
        <v>691564.87</v>
      </c>
      <c r="L33" s="48"/>
      <c r="M33" s="181"/>
      <c r="N33" s="182"/>
      <c r="O33"/>
      <c r="P33"/>
    </row>
    <row r="34" spans="1:16" ht="20.25" customHeight="1" thickBot="1" x14ac:dyDescent="0.25">
      <c r="A34" s="139"/>
      <c r="B34" s="140"/>
      <c r="C34" s="131" t="s">
        <v>151</v>
      </c>
      <c r="D34" s="132"/>
      <c r="E34" s="148"/>
      <c r="F34" s="149"/>
      <c r="G34" s="149"/>
      <c r="H34" s="149"/>
      <c r="I34" s="150"/>
      <c r="J34" s="37">
        <v>699628.3</v>
      </c>
      <c r="K34" s="38">
        <v>698712.3</v>
      </c>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0.92179999999999995</v>
      </c>
      <c r="K35" s="75">
        <f t="shared" si="9"/>
        <v>0.98980000000000001</v>
      </c>
      <c r="L35" s="74">
        <f t="shared" si="9"/>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v>721936.63</v>
      </c>
      <c r="L37" s="30"/>
      <c r="M37" s="187"/>
      <c r="N37" s="188"/>
      <c r="O37"/>
      <c r="P37"/>
    </row>
    <row r="38" spans="1:16" ht="20.25" customHeight="1" thickBot="1" x14ac:dyDescent="0.25">
      <c r="A38" s="115"/>
      <c r="B38" s="116"/>
      <c r="C38" s="131" t="s">
        <v>151</v>
      </c>
      <c r="D38" s="132"/>
      <c r="E38" s="148"/>
      <c r="F38" s="149"/>
      <c r="G38" s="149"/>
      <c r="H38" s="149"/>
      <c r="I38" s="149"/>
      <c r="J38" s="150"/>
      <c r="K38" s="37">
        <v>762361.75</v>
      </c>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0.94699999999999995</v>
      </c>
      <c r="L39" s="74">
        <f t="shared" si="10"/>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s3GmTIa/fyWERgRG8OkL1JUoOoVEgRr06S2FKDPaTazcgclw45uXQUORVUKWRxsHjgQ8CDynJGh1P0Ayj64Ctg==" saltValue="ZXqdfbzHlo4ipPcSK5YfNA=="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99" priority="25">
      <formula>F14&gt;(MIN($E14:E14))</formula>
    </cfRule>
  </conditionalFormatting>
  <conditionalFormatting sqref="F13:I13">
    <cfRule type="expression" dxfId="98" priority="24">
      <formula>F13&lt;(MAX($E13:E13))</formula>
    </cfRule>
  </conditionalFormatting>
  <conditionalFormatting sqref="G17:J17">
    <cfRule type="expression" dxfId="97" priority="23">
      <formula>G17&lt;(MAX($F17:F17))</formula>
    </cfRule>
  </conditionalFormatting>
  <conditionalFormatting sqref="G18:J18">
    <cfRule type="expression" dxfId="96" priority="22">
      <formula>G18&gt;(MIN($F18:F18))</formula>
    </cfRule>
  </conditionalFormatting>
  <conditionalFormatting sqref="H22:K22">
    <cfRule type="expression" dxfId="95" priority="21">
      <formula>H22&gt;(MIN($G22:G22))</formula>
    </cfRule>
  </conditionalFormatting>
  <conditionalFormatting sqref="H21:K21">
    <cfRule type="expression" dxfId="94" priority="20">
      <formula>H21&lt;(MAX($G21:G21))</formula>
    </cfRule>
  </conditionalFormatting>
  <conditionalFormatting sqref="I26:L26">
    <cfRule type="expression" dxfId="93" priority="19">
      <formula>I26&gt;(MIN($H26:H26))</formula>
    </cfRule>
  </conditionalFormatting>
  <conditionalFormatting sqref="I25:L25">
    <cfRule type="expression" dxfId="92" priority="18">
      <formula>I25&lt;(MAX($H25:H25))</formula>
    </cfRule>
  </conditionalFormatting>
  <conditionalFormatting sqref="J30:L30">
    <cfRule type="expression" dxfId="91" priority="17">
      <formula>J30&gt;(MIN($I30:I30))</formula>
    </cfRule>
  </conditionalFormatting>
  <conditionalFormatting sqref="J29:L29">
    <cfRule type="expression" dxfId="90" priority="16">
      <formula>J29&lt;(MAX($I29:I29))</formula>
    </cfRule>
  </conditionalFormatting>
  <conditionalFormatting sqref="K34:L34">
    <cfRule type="expression" dxfId="89" priority="15">
      <formula>K34&gt;(MIN($J34:J34))</formula>
    </cfRule>
  </conditionalFormatting>
  <conditionalFormatting sqref="K33:L33">
    <cfRule type="expression" dxfId="88" priority="14">
      <formula>K33&lt;(MAX($J33:J33))</formula>
    </cfRule>
  </conditionalFormatting>
  <conditionalFormatting sqref="L38">
    <cfRule type="expression" dxfId="87" priority="13">
      <formula>L38&gt;(MIN($G38:K38))</formula>
    </cfRule>
  </conditionalFormatting>
  <conditionalFormatting sqref="L37">
    <cfRule type="expression" dxfId="86" priority="12">
      <formula>L37&lt;(MAX($K37:K37))</formula>
    </cfRule>
  </conditionalFormatting>
  <conditionalFormatting sqref="I15 J19 K23 L27">
    <cfRule type="expression" dxfId="85" priority="11">
      <formula>I15&lt;$H$8</formula>
    </cfRule>
  </conditionalFormatting>
  <conditionalFormatting sqref="M16:N19">
    <cfRule type="expression" dxfId="84" priority="5">
      <formula>$J$19&lt;$H$8</formula>
    </cfRule>
  </conditionalFormatting>
  <conditionalFormatting sqref="M20:M23">
    <cfRule type="expression" dxfId="83" priority="4">
      <formula>$K$23&lt;$H$8</formula>
    </cfRule>
  </conditionalFormatting>
  <conditionalFormatting sqref="M24:N27">
    <cfRule type="expression" dxfId="82" priority="3">
      <formula>$L$27&lt;$H$8</formula>
    </cfRule>
  </conditionalFormatting>
  <conditionalFormatting sqref="M12:N15">
    <cfRule type="expression" dxfId="81" priority="2">
      <formula>$I$15&lt;$H$8</formula>
    </cfRule>
  </conditionalFormatting>
  <conditionalFormatting sqref="N20:N23">
    <cfRule type="expression" dxfId="80" priority="1">
      <formula>$J$19&lt;$H$8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21" zoomScale="85" zoomScaleNormal="85" zoomScaleSheetLayoutView="75" zoomScalePageLayoutView="75" workbookViewId="0">
      <selection activeCell="L25" sqref="L2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3: Apr - Jun</v>
      </c>
      <c r="I4"/>
      <c r="K4" s="32" t="s">
        <v>1</v>
      </c>
      <c r="L4" s="79">
        <f>'Circuit Criminal'!L4</f>
        <v>2</v>
      </c>
      <c r="N4" s="121" t="str">
        <f>'Circuit Criminal'!N4</f>
        <v>CCOC Form Version 2
Revised 1/18/19</v>
      </c>
    </row>
    <row r="5" spans="1:14" ht="24" customHeight="1" thickBot="1" x14ac:dyDescent="0.25">
      <c r="A5" s="8"/>
      <c r="C5" s="32" t="s">
        <v>68</v>
      </c>
      <c r="D5" s="112" t="str">
        <f>'Circuit Criminal'!D5</f>
        <v>Michelle Levar</v>
      </c>
      <c r="E5" s="112"/>
      <c r="F5" s="9"/>
      <c r="N5" s="122"/>
    </row>
    <row r="6" spans="1:14" ht="24" customHeight="1" x14ac:dyDescent="0.2">
      <c r="A6" s="8"/>
      <c r="C6" s="32" t="s">
        <v>69</v>
      </c>
      <c r="D6" s="111" t="str">
        <f>'Circuit Criminal'!D6</f>
        <v>michell.levar@brevardclerk.us</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County Civil</v>
      </c>
      <c r="E8" s="10"/>
      <c r="F8" s="127" t="s">
        <v>137</v>
      </c>
      <c r="G8" s="127"/>
      <c r="H8" s="102">
        <f ca="1">INDEX(LookupData!AA3:AA12,MATCH(D8,LookupData!Z3:Z12,0))</f>
        <v>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526477.47</v>
      </c>
      <c r="F13" s="53">
        <f ca="1">SUMIFS(LookupData!J$3:J$2682,LookupData!$A$3:$A$2682,$D$4,LookupData!$B$3:$B$2682,$D$8,LookupData!$C$3:$C$2682,$A12)</f>
        <v>562982.47</v>
      </c>
      <c r="G13" s="53">
        <f ca="1">SUMIFS(LookupData!K$3:K$2682,LookupData!$A$3:$A$2682,$D$4,LookupData!$B$3:$B$2682,$D$8,LookupData!$C$3:$C$2682,$A12)</f>
        <v>563292.47</v>
      </c>
      <c r="H13" s="53">
        <f ca="1">SUMIFS(LookupData!L$3:L$2682,LookupData!$A$3:$A$2682,$D$4,LookupData!$B$3:$B$2682,$D$8,LookupData!$C$3:$C$2682,$A12)</f>
        <v>563337.47</v>
      </c>
      <c r="I13" s="43">
        <v>563337.47</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566163.69999999995</v>
      </c>
      <c r="F14" s="55">
        <f ca="1">SUMIFS(LookupData!E$3:E$2682,LookupData!$A$3:$A$2682,$D$4,LookupData!$B$3:$B$2682,$D$8,LookupData!$C$3:$C$2682,$A12)</f>
        <v>566028.69999999995</v>
      </c>
      <c r="G14" s="55">
        <f ca="1">SUMIFS(LookupData!F$3:F$2682,LookupData!$A$3:$A$2682,$D$4,LookupData!$B$3:$B$2682,$D$8,LookupData!$C$3:$C$2682,$A12)</f>
        <v>565993.69999999995</v>
      </c>
      <c r="H14" s="55">
        <f ca="1">SUMIFS(LookupData!G$3:G$2682,LookupData!$A$3:$A$2682,$D$4,LookupData!$B$3:$B$2682,$D$8,LookupData!$C$3:$C$2682,$A12)</f>
        <v>565908.69999999995</v>
      </c>
      <c r="I14" s="44">
        <v>565908.69999999995</v>
      </c>
      <c r="J14" s="134"/>
      <c r="K14" s="134"/>
      <c r="L14" s="134"/>
      <c r="M14" s="124"/>
      <c r="N14" s="126"/>
    </row>
    <row r="15" spans="1:14" ht="19.5" customHeight="1" thickTop="1" thickBot="1" x14ac:dyDescent="0.25">
      <c r="A15" s="117"/>
      <c r="B15" s="118"/>
      <c r="C15" s="131" t="s">
        <v>152</v>
      </c>
      <c r="D15" s="132"/>
      <c r="E15" s="71">
        <f ca="1">IFERROR(IF(E14=0,1,ROUND(E13/E14,4)),0)</f>
        <v>0.92989999999999995</v>
      </c>
      <c r="F15" s="77">
        <f t="shared" ref="F15:H15" ca="1" si="0">IFERROR(IF(F14=0,1,ROUND(F13/F14,4)),0)</f>
        <v>0.99460000000000004</v>
      </c>
      <c r="G15" s="77">
        <f t="shared" ca="1" si="0"/>
        <v>0.99519999999999997</v>
      </c>
      <c r="H15" s="77">
        <f t="shared" ca="1" si="0"/>
        <v>0.99550000000000005</v>
      </c>
      <c r="I15" s="78">
        <f t="shared" ref="I15" si="1">IFERROR(IF(I14=0,1,ROUND(I13/I14,4)),0)</f>
        <v>0.99550000000000005</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562912.94999999995</v>
      </c>
      <c r="G17" s="53">
        <f ca="1">SUMIFS(LookupData!J$3:J$2682,LookupData!$A$3:$A$2682,$D$4,LookupData!$B$3:$B$2682,$D$8,LookupData!$C$3:$C$2682,$A16)</f>
        <v>583927.94999999995</v>
      </c>
      <c r="H17" s="53">
        <f ca="1">SUMIFS(LookupData!K$3:K$2682,LookupData!$A$3:$A$2682,$D$4,LookupData!$B$3:$B$2682,$D$8,LookupData!$C$3:$C$2682,$A16)</f>
        <v>584371.34</v>
      </c>
      <c r="I17" s="30">
        <v>584371.34</v>
      </c>
      <c r="J17" s="43">
        <v>584371.34</v>
      </c>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586425.61</v>
      </c>
      <c r="G18" s="55">
        <f ca="1">SUMIFS(LookupData!E$3:E$2682,LookupData!$A$3:$A$2682,$D$4,LookupData!$B$3:$B$2682,$D$8,LookupData!$C$3:$C$2682,$A16)</f>
        <v>586145.61</v>
      </c>
      <c r="H18" s="55">
        <f ca="1">SUMIFS(LookupData!F$3:F$2682,LookupData!$A$3:$A$2682,$D$4,LookupData!$B$3:$B$2682,$D$8,LookupData!$C$3:$C$2682,$A16)</f>
        <v>586145.61</v>
      </c>
      <c r="I18" s="38">
        <v>586145.61</v>
      </c>
      <c r="J18" s="44">
        <v>586145.61</v>
      </c>
      <c r="K18" s="148"/>
      <c r="L18" s="150"/>
      <c r="M18" s="159"/>
      <c r="N18" s="160"/>
    </row>
    <row r="19" spans="1:16" ht="20.25" customHeight="1" thickTop="1" thickBot="1" x14ac:dyDescent="0.25">
      <c r="A19" s="141"/>
      <c r="B19" s="142"/>
      <c r="C19" s="143" t="s">
        <v>152</v>
      </c>
      <c r="D19" s="144"/>
      <c r="E19" s="156"/>
      <c r="F19" s="73">
        <f ca="1">IFERROR(IF(F18=0,1,ROUND(F17/F18,4)),0)</f>
        <v>0.95989999999999998</v>
      </c>
      <c r="G19" s="75">
        <f t="shared" ref="G19:H19" ca="1" si="2">IFERROR(IF(G18=0,1,ROUND(G17/G18,4)),0)</f>
        <v>0.99619999999999997</v>
      </c>
      <c r="H19" s="75">
        <f t="shared" ca="1" si="2"/>
        <v>0.997</v>
      </c>
      <c r="I19" s="75">
        <f t="shared" ref="I19:J19" si="3">IFERROR(IF(I18=0,1,ROUND(I17/I18,4)),0)</f>
        <v>0.997</v>
      </c>
      <c r="J19" s="76">
        <f t="shared" si="3"/>
        <v>0.997</v>
      </c>
      <c r="K19" s="151"/>
      <c r="L19" s="153"/>
      <c r="M19" s="159"/>
      <c r="N19" s="160"/>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628635.36</v>
      </c>
      <c r="H21" s="53">
        <f ca="1">SUMIFS(LookupData!J$3:J$2682,LookupData!$A$3:$A$2682,$D$4,LookupData!$B$3:$B$2682,$D$8,LookupData!$C$3:$C$2682,$A20)</f>
        <v>644896.86</v>
      </c>
      <c r="I21" s="30">
        <v>644971.86</v>
      </c>
      <c r="J21" s="30">
        <v>644971.86</v>
      </c>
      <c r="K21" s="43">
        <v>644971.86</v>
      </c>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648117.86</v>
      </c>
      <c r="H22" s="55">
        <f ca="1">SUMIFS(LookupData!E$3:E$2682,LookupData!$A$3:$A$2682,$D$4,LookupData!$B$3:$B$2682,$D$8,LookupData!$C$3:$C$2682,$A20)</f>
        <v>647822.86</v>
      </c>
      <c r="I22" s="38">
        <v>647822.86</v>
      </c>
      <c r="J22" s="38">
        <v>647772.86</v>
      </c>
      <c r="K22" s="44">
        <v>647772.86</v>
      </c>
      <c r="L22" s="148"/>
      <c r="M22" s="159"/>
      <c r="N22" s="160"/>
    </row>
    <row r="23" spans="1:16" ht="20.25" customHeight="1" thickTop="1" thickBot="1" x14ac:dyDescent="0.25">
      <c r="A23" s="117"/>
      <c r="B23" s="118"/>
      <c r="C23" s="131" t="s">
        <v>152</v>
      </c>
      <c r="D23" s="132"/>
      <c r="E23" s="157"/>
      <c r="F23" s="158"/>
      <c r="G23" s="71">
        <f t="shared" ref="G23:H23" ca="1" si="4">IFERROR(IF(G22=0,1,ROUND(G21/G22,4)),0)</f>
        <v>0.96989999999999998</v>
      </c>
      <c r="H23" s="77">
        <f t="shared" ca="1" si="4"/>
        <v>0.99550000000000005</v>
      </c>
      <c r="I23" s="77">
        <f t="shared" ref="I23:K23" si="5">IFERROR(IF(I22=0,1,ROUND(I21/I22,4)),0)</f>
        <v>0.99560000000000004</v>
      </c>
      <c r="J23" s="77">
        <f t="shared" si="5"/>
        <v>0.99570000000000003</v>
      </c>
      <c r="K23" s="78">
        <f t="shared" si="5"/>
        <v>0.99570000000000003</v>
      </c>
      <c r="L23" s="148"/>
      <c r="M23" s="159"/>
      <c r="N23" s="160"/>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641304.53</v>
      </c>
      <c r="I25" s="30">
        <v>656537.53</v>
      </c>
      <c r="J25" s="30">
        <v>656992.53</v>
      </c>
      <c r="K25" s="30">
        <v>657077.53</v>
      </c>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661714.23</v>
      </c>
      <c r="I26" s="38">
        <v>661714.23</v>
      </c>
      <c r="J26" s="38">
        <v>661619.23</v>
      </c>
      <c r="K26" s="38">
        <v>661609.23</v>
      </c>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0.96919999999999995</v>
      </c>
      <c r="I27" s="75">
        <f t="shared" ref="I27:L27" si="7">IFERROR(IF(I26=0,1,ROUND(I25/I26,4)),0)</f>
        <v>0.99219999999999997</v>
      </c>
      <c r="J27" s="75">
        <f t="shared" si="7"/>
        <v>0.99299999999999999</v>
      </c>
      <c r="K27" s="75">
        <f t="shared" si="7"/>
        <v>0.99319999999999997</v>
      </c>
      <c r="L27" s="76">
        <f t="shared" si="7"/>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623186</v>
      </c>
      <c r="J29" s="30">
        <v>635621</v>
      </c>
      <c r="K29" s="30">
        <v>636186</v>
      </c>
      <c r="L29" s="43"/>
      <c r="M29" s="157"/>
      <c r="N29" s="191"/>
      <c r="O29"/>
      <c r="P29"/>
    </row>
    <row r="30" spans="1:16" ht="20.25" customHeight="1" thickBot="1" x14ac:dyDescent="0.25">
      <c r="A30" s="115"/>
      <c r="B30" s="116"/>
      <c r="C30" s="131" t="s">
        <v>151</v>
      </c>
      <c r="D30" s="132"/>
      <c r="E30" s="148"/>
      <c r="F30" s="149"/>
      <c r="G30" s="149"/>
      <c r="H30" s="150"/>
      <c r="I30" s="37">
        <v>638320.94999999995</v>
      </c>
      <c r="J30" s="38">
        <v>638320.94999999995</v>
      </c>
      <c r="K30" s="38">
        <v>638305.94999999995</v>
      </c>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0.97629999999999995</v>
      </c>
      <c r="J31" s="75">
        <f t="shared" si="8"/>
        <v>0.99580000000000002</v>
      </c>
      <c r="K31" s="75">
        <f t="shared" si="8"/>
        <v>0.99670000000000003</v>
      </c>
      <c r="L31" s="74">
        <f t="shared" si="8"/>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651771.61</v>
      </c>
      <c r="K33" s="30">
        <v>689846.61</v>
      </c>
      <c r="L33" s="48"/>
      <c r="M33" s="181"/>
      <c r="N33" s="182"/>
      <c r="O33"/>
      <c r="P33"/>
    </row>
    <row r="34" spans="1:16" ht="20.25" customHeight="1" thickBot="1" x14ac:dyDescent="0.25">
      <c r="A34" s="139"/>
      <c r="B34" s="140"/>
      <c r="C34" s="131" t="s">
        <v>151</v>
      </c>
      <c r="D34" s="132"/>
      <c r="E34" s="148"/>
      <c r="F34" s="149"/>
      <c r="G34" s="149"/>
      <c r="H34" s="149"/>
      <c r="I34" s="150"/>
      <c r="J34" s="37">
        <v>695414.61</v>
      </c>
      <c r="K34" s="38">
        <v>695384.61</v>
      </c>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0.93720000000000003</v>
      </c>
      <c r="K35" s="75">
        <f t="shared" si="9"/>
        <v>0.99199999999999999</v>
      </c>
      <c r="L35" s="74">
        <f t="shared" si="9"/>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v>559617.5</v>
      </c>
      <c r="L37" s="30"/>
      <c r="M37" s="187"/>
      <c r="N37" s="188"/>
      <c r="O37"/>
      <c r="P37"/>
    </row>
    <row r="38" spans="1:16" ht="20.25" customHeight="1" thickBot="1" x14ac:dyDescent="0.25">
      <c r="A38" s="115"/>
      <c r="B38" s="116"/>
      <c r="C38" s="131" t="s">
        <v>151</v>
      </c>
      <c r="D38" s="132"/>
      <c r="E38" s="148"/>
      <c r="F38" s="149"/>
      <c r="G38" s="149"/>
      <c r="H38" s="149"/>
      <c r="I38" s="149"/>
      <c r="J38" s="150"/>
      <c r="K38" s="37">
        <v>591450.5</v>
      </c>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0.94620000000000004</v>
      </c>
      <c r="L39" s="74">
        <f t="shared" si="10"/>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J65ynneQNT6fbgTv1XcaiWZna6nzv53dXMMma0r/UU2gQtbbvIYHhL3aNBy3aBQS0T2V7y0dayokbVHPVh3MDQ==" saltValue="Lwe2WD7Y2IA3cXR2xxAKqg=="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79" priority="24">
      <formula>F14&gt;(MIN($E14:E14))</formula>
    </cfRule>
  </conditionalFormatting>
  <conditionalFormatting sqref="F13:I13">
    <cfRule type="expression" dxfId="78" priority="23">
      <formula>F13&lt;(MAX($E13:E13))</formula>
    </cfRule>
  </conditionalFormatting>
  <conditionalFormatting sqref="G17:J17">
    <cfRule type="expression" dxfId="77" priority="22">
      <formula>G17&lt;(MAX($F17:F17))</formula>
    </cfRule>
  </conditionalFormatting>
  <conditionalFormatting sqref="G18:J18">
    <cfRule type="expression" dxfId="76" priority="21">
      <formula>G18&gt;(MIN($F18:F18))</formula>
    </cfRule>
  </conditionalFormatting>
  <conditionalFormatting sqref="H22:K22">
    <cfRule type="expression" dxfId="75" priority="20">
      <formula>H22&gt;(MIN($G22:G22))</formula>
    </cfRule>
  </conditionalFormatting>
  <conditionalFormatting sqref="H21:K21">
    <cfRule type="expression" dxfId="74" priority="19">
      <formula>H21&lt;(MAX($G21:G21))</formula>
    </cfRule>
  </conditionalFormatting>
  <conditionalFormatting sqref="I26:L26">
    <cfRule type="expression" dxfId="73" priority="18">
      <formula>I26&gt;(MIN($H26:H26))</formula>
    </cfRule>
  </conditionalFormatting>
  <conditionalFormatting sqref="I25:L25">
    <cfRule type="expression" dxfId="72" priority="17">
      <formula>I25&lt;(MAX($H25:H25))</formula>
    </cfRule>
  </conditionalFormatting>
  <conditionalFormatting sqref="J30:L30">
    <cfRule type="expression" dxfId="71" priority="16">
      <formula>J30&gt;(MIN($I30:I30))</formula>
    </cfRule>
  </conditionalFormatting>
  <conditionalFormatting sqref="J29:L29">
    <cfRule type="expression" dxfId="70" priority="15">
      <formula>J29&lt;(MAX($I29:I29))</formula>
    </cfRule>
  </conditionalFormatting>
  <conditionalFormatting sqref="K34:L34">
    <cfRule type="expression" dxfId="69" priority="14">
      <formula>K34&gt;(MIN($J34:J34))</formula>
    </cfRule>
  </conditionalFormatting>
  <conditionalFormatting sqref="K33:L33">
    <cfRule type="expression" dxfId="68" priority="13">
      <formula>K33&lt;(MAX($J33:J33))</formula>
    </cfRule>
  </conditionalFormatting>
  <conditionalFormatting sqref="L38">
    <cfRule type="expression" dxfId="67" priority="12">
      <formula>L38&gt;(MIN($G38:K38))</formula>
    </cfRule>
  </conditionalFormatting>
  <conditionalFormatting sqref="L37">
    <cfRule type="expression" dxfId="66" priority="11">
      <formula>L37&lt;(MAX($K37:K37))</formula>
    </cfRule>
  </conditionalFormatting>
  <conditionalFormatting sqref="I15 J19 K23 L27">
    <cfRule type="expression" dxfId="65" priority="10">
      <formula>I15&lt;$H$8</formula>
    </cfRule>
  </conditionalFormatting>
  <conditionalFormatting sqref="M16:N19">
    <cfRule type="expression" dxfId="64" priority="4">
      <formula>$J$19&lt;$H$8</formula>
    </cfRule>
  </conditionalFormatting>
  <conditionalFormatting sqref="M20:N23">
    <cfRule type="expression" dxfId="63" priority="3">
      <formula>$K$23&lt;$H$8</formula>
    </cfRule>
  </conditionalFormatting>
  <conditionalFormatting sqref="M24:N27">
    <cfRule type="expression" dxfId="62" priority="2">
      <formula>$L$27&lt;$H$8</formula>
    </cfRule>
  </conditionalFormatting>
  <conditionalFormatting sqref="M12:N15">
    <cfRule type="expression" dxfId="61"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21" zoomScale="85" zoomScaleNormal="85" zoomScaleSheetLayoutView="75" zoomScalePageLayoutView="75" workbookViewId="0">
      <selection activeCell="J25" sqref="J2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3: Apr - Jun</v>
      </c>
      <c r="I4"/>
      <c r="K4" s="32" t="s">
        <v>1</v>
      </c>
      <c r="L4" s="79">
        <f>'Circuit Criminal'!L4</f>
        <v>2</v>
      </c>
      <c r="N4" s="121" t="str">
        <f>'Circuit Criminal'!N4</f>
        <v>CCOC Form Version 2
Revised 1/18/19</v>
      </c>
    </row>
    <row r="5" spans="1:14" ht="24" customHeight="1" thickBot="1" x14ac:dyDescent="0.25">
      <c r="A5" s="8"/>
      <c r="C5" s="32" t="s">
        <v>68</v>
      </c>
      <c r="D5" s="112" t="str">
        <f>'Circuit Criminal'!D5</f>
        <v>Michelle Levar</v>
      </c>
      <c r="E5" s="112"/>
      <c r="F5" s="9"/>
      <c r="N5" s="122"/>
    </row>
    <row r="6" spans="1:14" ht="24" customHeight="1" x14ac:dyDescent="0.2">
      <c r="A6" s="8"/>
      <c r="C6" s="32" t="s">
        <v>69</v>
      </c>
      <c r="D6" s="111" t="str">
        <f>'Circuit Criminal'!D6</f>
        <v>michell.levar@brevardclerk.us</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Probate</v>
      </c>
      <c r="E8" s="10"/>
      <c r="F8" s="127" t="s">
        <v>137</v>
      </c>
      <c r="G8" s="127"/>
      <c r="H8" s="102">
        <f ca="1">INDEX(LookupData!AA3:AA12,MATCH(D8,LookupData!Z3:Z12,0))</f>
        <v>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226397.8</v>
      </c>
      <c r="F13" s="53">
        <f ca="1">SUMIFS(LookupData!J$3:J$2682,LookupData!$A$3:$A$2682,$D$4,LookupData!$B$3:$B$2682,$D$8,LookupData!$C$3:$C$2682,$A12)</f>
        <v>230939.8</v>
      </c>
      <c r="G13" s="53">
        <f ca="1">SUMIFS(LookupData!K$3:K$2682,LookupData!$A$3:$A$2682,$D$4,LookupData!$B$3:$B$2682,$D$8,LookupData!$C$3:$C$2682,$A12)</f>
        <v>231398.8</v>
      </c>
      <c r="H13" s="53">
        <f ca="1">SUMIFS(LookupData!L$3:L$2682,LookupData!$A$3:$A$2682,$D$4,LookupData!$B$3:$B$2682,$D$8,LookupData!$C$3:$C$2682,$A12)</f>
        <v>231653.8</v>
      </c>
      <c r="I13" s="43">
        <v>232053.8</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234067</v>
      </c>
      <c r="F14" s="55">
        <f ca="1">SUMIFS(LookupData!E$3:E$2682,LookupData!$A$3:$A$2682,$D$4,LookupData!$B$3:$B$2682,$D$8,LookupData!$C$3:$C$2682,$A12)</f>
        <v>234067</v>
      </c>
      <c r="G14" s="55">
        <f ca="1">SUMIFS(LookupData!F$3:F$2682,LookupData!$A$3:$A$2682,$D$4,LookupData!$B$3:$B$2682,$D$8,LookupData!$C$3:$C$2682,$A12)</f>
        <v>234067</v>
      </c>
      <c r="H14" s="55">
        <f ca="1">SUMIFS(LookupData!G$3:G$2682,LookupData!$A$3:$A$2682,$D$4,LookupData!$B$3:$B$2682,$D$8,LookupData!$C$3:$C$2682,$A12)</f>
        <v>233642</v>
      </c>
      <c r="I14" s="44">
        <v>233642</v>
      </c>
      <c r="J14" s="134"/>
      <c r="K14" s="134"/>
      <c r="L14" s="134"/>
      <c r="M14" s="124"/>
      <c r="N14" s="126"/>
    </row>
    <row r="15" spans="1:14" ht="19.5" customHeight="1" thickTop="1" thickBot="1" x14ac:dyDescent="0.25">
      <c r="A15" s="117"/>
      <c r="B15" s="118"/>
      <c r="C15" s="131" t="s">
        <v>152</v>
      </c>
      <c r="D15" s="132"/>
      <c r="E15" s="71">
        <f ca="1">IFERROR(IF(E14=0,1,ROUND(E13/E14,4)),0)</f>
        <v>0.96719999999999995</v>
      </c>
      <c r="F15" s="77">
        <f t="shared" ref="F15:H15" ca="1" si="0">IFERROR(IF(F14=0,1,ROUND(F13/F14,4)),0)</f>
        <v>0.98660000000000003</v>
      </c>
      <c r="G15" s="77">
        <f t="shared" ca="1" si="0"/>
        <v>0.98860000000000003</v>
      </c>
      <c r="H15" s="77">
        <f t="shared" ca="1" si="0"/>
        <v>0.99150000000000005</v>
      </c>
      <c r="I15" s="78">
        <f t="shared" ref="I15" si="1">IFERROR(IF(I14=0,1,ROUND(I13/I14,4)),0)</f>
        <v>0.99319999999999997</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240983.41</v>
      </c>
      <c r="G17" s="53">
        <f ca="1">SUMIFS(LookupData!J$3:J$2682,LookupData!$A$3:$A$2682,$D$4,LookupData!$B$3:$B$2682,$D$8,LookupData!$C$3:$C$2682,$A16)</f>
        <v>245163.91</v>
      </c>
      <c r="H17" s="53">
        <f ca="1">SUMIFS(LookupData!K$3:K$2682,LookupData!$A$3:$A$2682,$D$4,LookupData!$B$3:$B$2682,$D$8,LookupData!$C$3:$C$2682,$A16)</f>
        <v>245254.01</v>
      </c>
      <c r="I17" s="30">
        <v>245254.01</v>
      </c>
      <c r="J17" s="43">
        <v>245270.8</v>
      </c>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247623.2</v>
      </c>
      <c r="G18" s="55">
        <f ca="1">SUMIFS(LookupData!E$3:E$2682,LookupData!$A$3:$A$2682,$D$4,LookupData!$B$3:$B$2682,$D$8,LookupData!$C$3:$C$2682,$A16)</f>
        <v>247623.2</v>
      </c>
      <c r="H18" s="55">
        <f ca="1">SUMIFS(LookupData!F$3:F$2682,LookupData!$A$3:$A$2682,$D$4,LookupData!$B$3:$B$2682,$D$8,LookupData!$C$3:$C$2682,$A16)</f>
        <v>247623.2</v>
      </c>
      <c r="I18" s="38">
        <v>247623.2</v>
      </c>
      <c r="J18" s="44">
        <v>247623.2</v>
      </c>
      <c r="K18" s="148"/>
      <c r="L18" s="150"/>
      <c r="M18" s="159"/>
      <c r="N18" s="160"/>
    </row>
    <row r="19" spans="1:16" ht="20.25" customHeight="1" thickTop="1" thickBot="1" x14ac:dyDescent="0.25">
      <c r="A19" s="141"/>
      <c r="B19" s="142"/>
      <c r="C19" s="143" t="s">
        <v>152</v>
      </c>
      <c r="D19" s="144"/>
      <c r="E19" s="156"/>
      <c r="F19" s="73">
        <f ca="1">IFERROR(IF(F18=0,1,ROUND(F17/F18,4)),0)</f>
        <v>0.97319999999999995</v>
      </c>
      <c r="G19" s="75">
        <f t="shared" ref="G19:H19" ca="1" si="2">IFERROR(IF(G18=0,1,ROUND(G17/G18,4)),0)</f>
        <v>0.99009999999999998</v>
      </c>
      <c r="H19" s="75">
        <f t="shared" ca="1" si="2"/>
        <v>0.99039999999999995</v>
      </c>
      <c r="I19" s="75">
        <f t="shared" ref="I19:J19" si="3">IFERROR(IF(I18=0,1,ROUND(I17/I18,4)),0)</f>
        <v>0.99039999999999995</v>
      </c>
      <c r="J19" s="76">
        <f t="shared" si="3"/>
        <v>0.99050000000000005</v>
      </c>
      <c r="K19" s="151"/>
      <c r="L19" s="153"/>
      <c r="M19" s="159"/>
      <c r="N19" s="160"/>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t="s">
        <v>155</v>
      </c>
      <c r="N20" s="160" t="s">
        <v>239</v>
      </c>
    </row>
    <row r="21" spans="1:16" ht="20.25" customHeight="1" x14ac:dyDescent="0.2">
      <c r="A21" s="115"/>
      <c r="B21" s="116"/>
      <c r="C21" s="131" t="s">
        <v>150</v>
      </c>
      <c r="D21" s="132"/>
      <c r="E21" s="157"/>
      <c r="F21" s="158"/>
      <c r="G21" s="52">
        <f ca="1">SUMIFS(LookupData!I$3:I$2682,LookupData!$A$3:$A$2682,$D$4,LookupData!$B$3:$B$2682,$D$8,LookupData!$C$3:$C$2682,$A20)</f>
        <v>237154.9</v>
      </c>
      <c r="H21" s="53">
        <f ca="1">SUMIFS(LookupData!J$3:J$2682,LookupData!$A$3:$A$2682,$D$4,LookupData!$B$3:$B$2682,$D$8,LookupData!$C$3:$C$2682,$A20)</f>
        <v>247562.9</v>
      </c>
      <c r="I21" s="30">
        <v>247375.9</v>
      </c>
      <c r="J21" s="30">
        <v>247373.29</v>
      </c>
      <c r="K21" s="43">
        <v>247479.01</v>
      </c>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250140.79999999999</v>
      </c>
      <c r="H22" s="55">
        <f ca="1">SUMIFS(LookupData!E$3:E$2682,LookupData!$A$3:$A$2682,$D$4,LookupData!$B$3:$B$2682,$D$8,LookupData!$C$3:$C$2682,$A20)</f>
        <v>250140.79999999999</v>
      </c>
      <c r="I22" s="38">
        <v>249795.8</v>
      </c>
      <c r="J22" s="38">
        <v>249795.8</v>
      </c>
      <c r="K22" s="44">
        <v>249795.8</v>
      </c>
      <c r="L22" s="148"/>
      <c r="M22" s="159"/>
      <c r="N22" s="160"/>
    </row>
    <row r="23" spans="1:16" ht="20.25" customHeight="1" thickTop="1" thickBot="1" x14ac:dyDescent="0.25">
      <c r="A23" s="117"/>
      <c r="B23" s="118"/>
      <c r="C23" s="131" t="s">
        <v>152</v>
      </c>
      <c r="D23" s="132"/>
      <c r="E23" s="157"/>
      <c r="F23" s="158"/>
      <c r="G23" s="71">
        <f t="shared" ref="G23:H23" ca="1" si="4">IFERROR(IF(G22=0,1,ROUND(G21/G22,4)),0)</f>
        <v>0.94810000000000005</v>
      </c>
      <c r="H23" s="77">
        <f t="shared" ca="1" si="4"/>
        <v>0.98970000000000002</v>
      </c>
      <c r="I23" s="77">
        <f t="shared" ref="I23:K23" si="5">IFERROR(IF(I22=0,1,ROUND(I21/I22,4)),0)</f>
        <v>0.99029999999999996</v>
      </c>
      <c r="J23" s="77">
        <f t="shared" si="5"/>
        <v>0.99029999999999996</v>
      </c>
      <c r="K23" s="78">
        <f t="shared" si="5"/>
        <v>0.99070000000000003</v>
      </c>
      <c r="L23" s="148"/>
      <c r="M23" s="159"/>
      <c r="N23" s="160"/>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227827.07</v>
      </c>
      <c r="I25" s="30">
        <v>236689.61</v>
      </c>
      <c r="J25" s="30">
        <v>237361.61</v>
      </c>
      <c r="K25" s="30">
        <v>237410.3</v>
      </c>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238328.15</v>
      </c>
      <c r="I26" s="38">
        <v>238328.15</v>
      </c>
      <c r="J26" s="38">
        <v>238328.15</v>
      </c>
      <c r="K26" s="38">
        <v>238328.15</v>
      </c>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0.95589999999999997</v>
      </c>
      <c r="I27" s="75">
        <f t="shared" ref="I27:L27" si="7">IFERROR(IF(I26=0,1,ROUND(I25/I26,4)),0)</f>
        <v>0.99309999999999998</v>
      </c>
      <c r="J27" s="75">
        <f t="shared" si="7"/>
        <v>0.99590000000000001</v>
      </c>
      <c r="K27" s="75">
        <f t="shared" si="7"/>
        <v>0.99609999999999999</v>
      </c>
      <c r="L27" s="76">
        <f t="shared" si="7"/>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221339.76</v>
      </c>
      <c r="J29" s="30">
        <v>224713.57</v>
      </c>
      <c r="K29" s="30">
        <v>224839.57</v>
      </c>
      <c r="L29" s="43"/>
      <c r="M29" s="157"/>
      <c r="N29" s="191"/>
      <c r="O29"/>
      <c r="P29"/>
    </row>
    <row r="30" spans="1:16" ht="20.25" customHeight="1" thickBot="1" x14ac:dyDescent="0.25">
      <c r="A30" s="115"/>
      <c r="B30" s="116"/>
      <c r="C30" s="131" t="s">
        <v>151</v>
      </c>
      <c r="D30" s="132"/>
      <c r="E30" s="148"/>
      <c r="F30" s="149"/>
      <c r="G30" s="149"/>
      <c r="H30" s="150"/>
      <c r="I30" s="37">
        <v>225901.35</v>
      </c>
      <c r="J30" s="38">
        <v>225901.35</v>
      </c>
      <c r="K30" s="38">
        <v>225901.35</v>
      </c>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0.9798</v>
      </c>
      <c r="J31" s="75">
        <f t="shared" si="8"/>
        <v>0.99470000000000003</v>
      </c>
      <c r="K31" s="75">
        <f t="shared" si="8"/>
        <v>0.99529999999999996</v>
      </c>
      <c r="L31" s="74">
        <f t="shared" si="8"/>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221819.4</v>
      </c>
      <c r="K33" s="30">
        <v>246798.09</v>
      </c>
      <c r="L33" s="48"/>
      <c r="M33" s="181"/>
      <c r="N33" s="182"/>
      <c r="O33"/>
      <c r="P33"/>
    </row>
    <row r="34" spans="1:16" ht="20.25" customHeight="1" thickBot="1" x14ac:dyDescent="0.25">
      <c r="A34" s="139"/>
      <c r="B34" s="140"/>
      <c r="C34" s="131" t="s">
        <v>151</v>
      </c>
      <c r="D34" s="132"/>
      <c r="E34" s="148"/>
      <c r="F34" s="149"/>
      <c r="G34" s="149"/>
      <c r="H34" s="149"/>
      <c r="I34" s="150"/>
      <c r="J34" s="37">
        <v>247936.65</v>
      </c>
      <c r="K34" s="38">
        <v>247936.65</v>
      </c>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0.89470000000000005</v>
      </c>
      <c r="K35" s="75">
        <f t="shared" si="9"/>
        <v>0.99539999999999995</v>
      </c>
      <c r="L35" s="74">
        <f t="shared" si="9"/>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v>228410.26</v>
      </c>
      <c r="L37" s="30"/>
      <c r="M37" s="187"/>
      <c r="N37" s="188"/>
      <c r="O37"/>
      <c r="P37"/>
    </row>
    <row r="38" spans="1:16" ht="20.25" customHeight="1" thickBot="1" x14ac:dyDescent="0.25">
      <c r="A38" s="115"/>
      <c r="B38" s="116"/>
      <c r="C38" s="131" t="s">
        <v>151</v>
      </c>
      <c r="D38" s="132"/>
      <c r="E38" s="148"/>
      <c r="F38" s="149"/>
      <c r="G38" s="149"/>
      <c r="H38" s="149"/>
      <c r="I38" s="149"/>
      <c r="J38" s="150"/>
      <c r="K38" s="37">
        <v>247347.25</v>
      </c>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0.9234</v>
      </c>
      <c r="L39" s="74">
        <f t="shared" si="10"/>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mB2hXRs4wARKNbm9QMDeYWm2Gike0vSria6KxfolPGP5m1Wu+sZmBuDc6jKQ4Gb+d0tdqS7dyefbBAG8QjMmWg==" saltValue="UxxMxA9YPgLQYve5qj6wQw=="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60" priority="24">
      <formula>F14&gt;(MIN($E14:E14))</formula>
    </cfRule>
  </conditionalFormatting>
  <conditionalFormatting sqref="F13:I13">
    <cfRule type="expression" dxfId="59" priority="23">
      <formula>F13&lt;(MAX($E13:E13))</formula>
    </cfRule>
  </conditionalFormatting>
  <conditionalFormatting sqref="G17:J17">
    <cfRule type="expression" dxfId="58" priority="22">
      <formula>G17&lt;(MAX($F17:F17))</formula>
    </cfRule>
  </conditionalFormatting>
  <conditionalFormatting sqref="G18:J18">
    <cfRule type="expression" dxfId="57" priority="21">
      <formula>G18&gt;(MIN($F18:F18))</formula>
    </cfRule>
  </conditionalFormatting>
  <conditionalFormatting sqref="H22:K22">
    <cfRule type="expression" dxfId="56" priority="20">
      <formula>H22&gt;(MIN($G22:G22))</formula>
    </cfRule>
  </conditionalFormatting>
  <conditionalFormatting sqref="H21:K21">
    <cfRule type="expression" dxfId="55" priority="19">
      <formula>H21&lt;(MAX($G21:G21))</formula>
    </cfRule>
  </conditionalFormatting>
  <conditionalFormatting sqref="I26:L26">
    <cfRule type="expression" dxfId="54" priority="18">
      <formula>I26&gt;(MIN($H26:H26))</formula>
    </cfRule>
  </conditionalFormatting>
  <conditionalFormatting sqref="I25:L25">
    <cfRule type="expression" dxfId="53" priority="17">
      <formula>I25&lt;(MAX($H25:H25))</formula>
    </cfRule>
  </conditionalFormatting>
  <conditionalFormatting sqref="J30:L30">
    <cfRule type="expression" dxfId="52" priority="16">
      <formula>J30&gt;(MIN($I30:I30))</formula>
    </cfRule>
  </conditionalFormatting>
  <conditionalFormatting sqref="J29:L29">
    <cfRule type="expression" dxfId="51" priority="15">
      <formula>J29&lt;(MAX($I29:I29))</formula>
    </cfRule>
  </conditionalFormatting>
  <conditionalFormatting sqref="K34:L34">
    <cfRule type="expression" dxfId="50" priority="14">
      <formula>K34&gt;(MIN($J34:J34))</formula>
    </cfRule>
  </conditionalFormatting>
  <conditionalFormatting sqref="K33:L33">
    <cfRule type="expression" dxfId="49" priority="13">
      <formula>K33&lt;(MAX($J33:J33))</formula>
    </cfRule>
  </conditionalFormatting>
  <conditionalFormatting sqref="L38">
    <cfRule type="expression" dxfId="48" priority="12">
      <formula>L38&gt;(MIN($G38:K38))</formula>
    </cfRule>
  </conditionalFormatting>
  <conditionalFormatting sqref="L37">
    <cfRule type="expression" dxfId="47" priority="11">
      <formula>L37&lt;(MAX($K37:K37))</formula>
    </cfRule>
  </conditionalFormatting>
  <conditionalFormatting sqref="I15 J19 K23 L27">
    <cfRule type="expression" dxfId="46" priority="10">
      <formula>I15&lt;$H$8</formula>
    </cfRule>
  </conditionalFormatting>
  <conditionalFormatting sqref="M16:N19">
    <cfRule type="expression" dxfId="45" priority="4">
      <formula>$J$19&lt;$H$8</formula>
    </cfRule>
  </conditionalFormatting>
  <conditionalFormatting sqref="M20:N23">
    <cfRule type="expression" dxfId="44" priority="3">
      <formula>$K$23&lt;$H$8</formula>
    </cfRule>
  </conditionalFormatting>
  <conditionalFormatting sqref="M24:N27">
    <cfRule type="expression" dxfId="43" priority="2">
      <formula>$L$27&lt;$H$8</formula>
    </cfRule>
  </conditionalFormatting>
  <conditionalFormatting sqref="M12:N15">
    <cfRule type="expression" dxfId="42"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2" zoomScale="85" zoomScaleNormal="85" zoomScaleSheetLayoutView="75" zoomScalePageLayoutView="75" workbookViewId="0">
      <selection activeCell="L25" sqref="L2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3: Apr - Jun</v>
      </c>
      <c r="I4" s="103"/>
      <c r="K4" s="32" t="s">
        <v>1</v>
      </c>
      <c r="L4" s="79">
        <f>'Circuit Criminal'!L4</f>
        <v>2</v>
      </c>
      <c r="N4" s="121" t="str">
        <f>'Circuit Criminal'!N4</f>
        <v>CCOC Form Version 2
Revised 1/18/19</v>
      </c>
    </row>
    <row r="5" spans="1:14" ht="24" customHeight="1" thickBot="1" x14ac:dyDescent="0.25">
      <c r="A5" s="8"/>
      <c r="C5" s="32" t="s">
        <v>68</v>
      </c>
      <c r="D5" s="112" t="str">
        <f>'Circuit Criminal'!D5</f>
        <v>Michelle Levar</v>
      </c>
      <c r="E5" s="112"/>
      <c r="F5" s="9"/>
      <c r="N5" s="122"/>
    </row>
    <row r="6" spans="1:14" ht="24" customHeight="1" x14ac:dyDescent="0.2">
      <c r="A6" s="8"/>
      <c r="C6" s="32" t="s">
        <v>69</v>
      </c>
      <c r="D6" s="111" t="str">
        <f>'Circuit Criminal'!D6</f>
        <v>michell.levar@brevardclerk.us</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Family</v>
      </c>
      <c r="E8" s="10"/>
      <c r="F8" s="127" t="s">
        <v>137</v>
      </c>
      <c r="G8" s="127"/>
      <c r="H8" s="102">
        <f ca="1">INDEX(LookupData!AA3:AA12,MATCH(D8,LookupData!Z3:Z12,0))</f>
        <v>0.75</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271847.11</v>
      </c>
      <c r="F13" s="53">
        <f ca="1">SUMIFS(LookupData!J$3:J$2682,LookupData!$A$3:$A$2682,$D$4,LookupData!$B$3:$B$2682,$D$8,LookupData!$C$3:$C$2682,$A12)</f>
        <v>294076.84000000003</v>
      </c>
      <c r="G13" s="53">
        <f ca="1">SUMIFS(LookupData!K$3:K$2682,LookupData!$A$3:$A$2682,$D$4,LookupData!$B$3:$B$2682,$D$8,LookupData!$C$3:$C$2682,$A12)</f>
        <v>298686.57</v>
      </c>
      <c r="H13" s="53">
        <f ca="1">SUMIFS(LookupData!L$3:L$2682,LookupData!$A$3:$A$2682,$D$4,LookupData!$B$3:$B$2682,$D$8,LookupData!$C$3:$C$2682,$A12)</f>
        <v>299814.82</v>
      </c>
      <c r="I13" s="43">
        <v>300971.21999999997</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329764.81</v>
      </c>
      <c r="F14" s="55">
        <f ca="1">SUMIFS(LookupData!E$3:E$2682,LookupData!$A$3:$A$2682,$D$4,LookupData!$B$3:$B$2682,$D$8,LookupData!$C$3:$C$2682,$A12)</f>
        <v>329295.81</v>
      </c>
      <c r="G14" s="55">
        <f ca="1">SUMIFS(LookupData!F$3:F$2682,LookupData!$A$3:$A$2682,$D$4,LookupData!$B$3:$B$2682,$D$8,LookupData!$C$3:$C$2682,$A12)</f>
        <v>329295.81</v>
      </c>
      <c r="H14" s="55">
        <f ca="1">SUMIFS(LookupData!G$3:G$2682,LookupData!$A$3:$A$2682,$D$4,LookupData!$B$3:$B$2682,$D$8,LookupData!$C$3:$C$2682,$A12)</f>
        <v>328969.81</v>
      </c>
      <c r="I14" s="44">
        <v>328969.81</v>
      </c>
      <c r="J14" s="134"/>
      <c r="K14" s="134"/>
      <c r="L14" s="134"/>
      <c r="M14" s="124"/>
      <c r="N14" s="126"/>
    </row>
    <row r="15" spans="1:14" ht="19.5" customHeight="1" thickTop="1" thickBot="1" x14ac:dyDescent="0.25">
      <c r="A15" s="117"/>
      <c r="B15" s="118"/>
      <c r="C15" s="131" t="s">
        <v>152</v>
      </c>
      <c r="D15" s="132"/>
      <c r="E15" s="71">
        <f ca="1">IFERROR(IF(E14=0,1,ROUND(E13/E14,4)),0)</f>
        <v>0.82440000000000002</v>
      </c>
      <c r="F15" s="77">
        <f t="shared" ref="F15:H15" ca="1" si="0">IFERROR(IF(F14=0,1,ROUND(F13/F14,4)),0)</f>
        <v>0.89300000000000002</v>
      </c>
      <c r="G15" s="77">
        <f t="shared" ca="1" si="0"/>
        <v>0.90700000000000003</v>
      </c>
      <c r="H15" s="77">
        <f t="shared" ca="1" si="0"/>
        <v>0.91139999999999999</v>
      </c>
      <c r="I15" s="78">
        <f t="shared" ref="I15" si="1">IFERROR(IF(I14=0,1,ROUND(I13/I14,4)),0)</f>
        <v>0.91490000000000005</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328125.58</v>
      </c>
      <c r="G17" s="53">
        <f ca="1">SUMIFS(LookupData!J$3:J$2682,LookupData!$A$3:$A$2682,$D$4,LookupData!$B$3:$B$2682,$D$8,LookupData!$C$3:$C$2682,$A16)</f>
        <v>335913.4</v>
      </c>
      <c r="H17" s="53">
        <f ca="1">SUMIFS(LookupData!K$3:K$2682,LookupData!$A$3:$A$2682,$D$4,LookupData!$B$3:$B$2682,$D$8,LookupData!$C$3:$C$2682,$A16)</f>
        <v>338199.02</v>
      </c>
      <c r="I17" s="30">
        <v>339273.97</v>
      </c>
      <c r="J17" s="43">
        <v>340439.39</v>
      </c>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372808.9</v>
      </c>
      <c r="G18" s="55">
        <f ca="1">SUMIFS(LookupData!E$3:E$2682,LookupData!$A$3:$A$2682,$D$4,LookupData!$B$3:$B$2682,$D$8,LookupData!$C$3:$C$2682,$A16)</f>
        <v>372723.9</v>
      </c>
      <c r="H18" s="55">
        <f ca="1">SUMIFS(LookupData!F$3:F$2682,LookupData!$A$3:$A$2682,$D$4,LookupData!$B$3:$B$2682,$D$8,LookupData!$C$3:$C$2682,$A16)</f>
        <v>372713.9</v>
      </c>
      <c r="I18" s="38">
        <v>372713.9</v>
      </c>
      <c r="J18" s="44">
        <v>372713.9</v>
      </c>
      <c r="K18" s="148"/>
      <c r="L18" s="150"/>
      <c r="M18" s="159"/>
      <c r="N18" s="160"/>
    </row>
    <row r="19" spans="1:16" ht="20.25" customHeight="1" thickTop="1" thickBot="1" x14ac:dyDescent="0.25">
      <c r="A19" s="141"/>
      <c r="B19" s="142"/>
      <c r="C19" s="143" t="s">
        <v>152</v>
      </c>
      <c r="D19" s="144"/>
      <c r="E19" s="156"/>
      <c r="F19" s="73">
        <f ca="1">IFERROR(IF(F18=0,1,ROUND(F17/F18,4)),0)</f>
        <v>0.88009999999999999</v>
      </c>
      <c r="G19" s="75">
        <f t="shared" ref="G19:H19" ca="1" si="2">IFERROR(IF(G18=0,1,ROUND(G17/G18,4)),0)</f>
        <v>0.9012</v>
      </c>
      <c r="H19" s="75">
        <f t="shared" ca="1" si="2"/>
        <v>0.90739999999999998</v>
      </c>
      <c r="I19" s="75">
        <f t="shared" ref="I19:J19" si="3">IFERROR(IF(I18=0,1,ROUND(I17/I18,4)),0)</f>
        <v>0.9103</v>
      </c>
      <c r="J19" s="76">
        <f t="shared" si="3"/>
        <v>0.91339999999999999</v>
      </c>
      <c r="K19" s="151"/>
      <c r="L19" s="153"/>
      <c r="M19" s="159"/>
      <c r="N19" s="160"/>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330478.37</v>
      </c>
      <c r="H21" s="53">
        <f ca="1">SUMIFS(LookupData!J$3:J$2682,LookupData!$A$3:$A$2682,$D$4,LookupData!$B$3:$B$2682,$D$8,LookupData!$C$3:$C$2682,$A20)</f>
        <v>342929.02</v>
      </c>
      <c r="I21" s="30">
        <v>346065.97</v>
      </c>
      <c r="J21" s="30">
        <v>347292.17</v>
      </c>
      <c r="K21" s="43">
        <v>348678.2</v>
      </c>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378290.85</v>
      </c>
      <c r="H22" s="55">
        <f ca="1">SUMIFS(LookupData!E$3:E$2682,LookupData!$A$3:$A$2682,$D$4,LookupData!$B$3:$B$2682,$D$8,LookupData!$C$3:$C$2682,$A20)</f>
        <v>378230.85</v>
      </c>
      <c r="I22" s="38">
        <v>377816.85</v>
      </c>
      <c r="J22" s="38">
        <v>377816.85</v>
      </c>
      <c r="K22" s="44">
        <v>377816.85</v>
      </c>
      <c r="L22" s="148"/>
      <c r="M22" s="159"/>
      <c r="N22" s="160"/>
    </row>
    <row r="23" spans="1:16" ht="20.25" customHeight="1" thickTop="1" thickBot="1" x14ac:dyDescent="0.25">
      <c r="A23" s="117"/>
      <c r="B23" s="118"/>
      <c r="C23" s="131" t="s">
        <v>152</v>
      </c>
      <c r="D23" s="132"/>
      <c r="E23" s="157"/>
      <c r="F23" s="158"/>
      <c r="G23" s="71">
        <f t="shared" ref="G23:H23" ca="1" si="4">IFERROR(IF(G22=0,1,ROUND(G21/G22,4)),0)</f>
        <v>0.87360000000000004</v>
      </c>
      <c r="H23" s="77">
        <f t="shared" ca="1" si="4"/>
        <v>0.90669999999999995</v>
      </c>
      <c r="I23" s="77">
        <f t="shared" ref="I23:K23" si="5">IFERROR(IF(I22=0,1,ROUND(I21/I22,4)),0)</f>
        <v>0.91600000000000004</v>
      </c>
      <c r="J23" s="77">
        <f t="shared" si="5"/>
        <v>0.91920000000000002</v>
      </c>
      <c r="K23" s="78">
        <f t="shared" si="5"/>
        <v>0.92290000000000005</v>
      </c>
      <c r="L23" s="148"/>
      <c r="M23" s="159"/>
      <c r="N23" s="160"/>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278730.53000000003</v>
      </c>
      <c r="I25" s="30">
        <v>295555.46000000002</v>
      </c>
      <c r="J25" s="30">
        <v>300494.14</v>
      </c>
      <c r="K25" s="30">
        <v>302460.23</v>
      </c>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331900.09999999998</v>
      </c>
      <c r="I26" s="38">
        <v>331900.09999999998</v>
      </c>
      <c r="J26" s="38">
        <v>331900.09999999998</v>
      </c>
      <c r="K26" s="38">
        <v>331900.09999999998</v>
      </c>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0.83979999999999999</v>
      </c>
      <c r="I27" s="75">
        <f t="shared" ref="I27:L27" si="7">IFERROR(IF(I26=0,1,ROUND(I25/I26,4)),0)</f>
        <v>0.89049999999999996</v>
      </c>
      <c r="J27" s="75">
        <f t="shared" si="7"/>
        <v>0.90539999999999998</v>
      </c>
      <c r="K27" s="75">
        <f t="shared" si="7"/>
        <v>0.9113</v>
      </c>
      <c r="L27" s="76">
        <f t="shared" si="7"/>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262022.19</v>
      </c>
      <c r="J29" s="30">
        <v>267554.86</v>
      </c>
      <c r="K29" s="30">
        <v>269576.09999999998</v>
      </c>
      <c r="L29" s="43"/>
      <c r="M29" s="157"/>
      <c r="N29" s="191"/>
      <c r="O29"/>
      <c r="P29"/>
    </row>
    <row r="30" spans="1:16" ht="20.25" customHeight="1" thickBot="1" x14ac:dyDescent="0.25">
      <c r="A30" s="115"/>
      <c r="B30" s="116"/>
      <c r="C30" s="131" t="s">
        <v>151</v>
      </c>
      <c r="D30" s="132"/>
      <c r="E30" s="148"/>
      <c r="F30" s="149"/>
      <c r="G30" s="149"/>
      <c r="H30" s="150"/>
      <c r="I30" s="37">
        <v>290401.3</v>
      </c>
      <c r="J30" s="38">
        <v>290401.3</v>
      </c>
      <c r="K30" s="38">
        <v>290401.3</v>
      </c>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0.90229999999999999</v>
      </c>
      <c r="J31" s="75">
        <f t="shared" si="8"/>
        <v>0.92130000000000001</v>
      </c>
      <c r="K31" s="75">
        <f t="shared" si="8"/>
        <v>0.92830000000000001</v>
      </c>
      <c r="L31" s="74">
        <f t="shared" si="8"/>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291145.5</v>
      </c>
      <c r="K33" s="30">
        <v>305969.84000000003</v>
      </c>
      <c r="L33" s="48"/>
      <c r="M33" s="181"/>
      <c r="N33" s="182"/>
      <c r="O33"/>
      <c r="P33"/>
    </row>
    <row r="34" spans="1:16" ht="20.25" customHeight="1" thickBot="1" x14ac:dyDescent="0.25">
      <c r="A34" s="139"/>
      <c r="B34" s="140"/>
      <c r="C34" s="131" t="s">
        <v>151</v>
      </c>
      <c r="D34" s="132"/>
      <c r="E34" s="148"/>
      <c r="F34" s="149"/>
      <c r="G34" s="149"/>
      <c r="H34" s="149"/>
      <c r="I34" s="150"/>
      <c r="J34" s="37">
        <v>326951.05</v>
      </c>
      <c r="K34" s="38">
        <v>326891.05</v>
      </c>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0.89049999999999996</v>
      </c>
      <c r="K35" s="75">
        <f t="shared" si="9"/>
        <v>0.93600000000000005</v>
      </c>
      <c r="L35" s="74">
        <f t="shared" si="9"/>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v>319425.31</v>
      </c>
      <c r="L37" s="30"/>
      <c r="M37" s="187"/>
      <c r="N37" s="188"/>
      <c r="O37"/>
      <c r="P37"/>
    </row>
    <row r="38" spans="1:16" ht="20.25" customHeight="1" thickBot="1" x14ac:dyDescent="0.25">
      <c r="A38" s="115"/>
      <c r="B38" s="116"/>
      <c r="C38" s="131" t="s">
        <v>151</v>
      </c>
      <c r="D38" s="132"/>
      <c r="E38" s="148"/>
      <c r="F38" s="149"/>
      <c r="G38" s="149"/>
      <c r="H38" s="149"/>
      <c r="I38" s="149"/>
      <c r="J38" s="150"/>
      <c r="K38" s="37">
        <v>354029.95</v>
      </c>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0.90229999999999999</v>
      </c>
      <c r="L39" s="74">
        <f t="shared" si="10"/>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ll6GWCBnwfXawohf1brvXQ1jwSz7pttppUWjeqtpwYdW+P+srIbdK3rmDp5PTc5n6YTGCiV1QU3KXpvJmf9q7g==" saltValue="5EE/Eme0KpvaHmJ1Jt15yA=="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41" priority="25">
      <formula>F14&gt;(MIN($E14:E14))</formula>
    </cfRule>
  </conditionalFormatting>
  <conditionalFormatting sqref="F13:I13">
    <cfRule type="expression" dxfId="40" priority="24">
      <formula>F13&lt;(MAX($E13:E13))</formula>
    </cfRule>
  </conditionalFormatting>
  <conditionalFormatting sqref="G17:J17">
    <cfRule type="expression" dxfId="39" priority="23">
      <formula>G17&lt;(MAX($F17:F17))</formula>
    </cfRule>
  </conditionalFormatting>
  <conditionalFormatting sqref="G18:J18">
    <cfRule type="expression" dxfId="38" priority="22">
      <formula>G18&gt;(MIN($F18:F18))</formula>
    </cfRule>
  </conditionalFormatting>
  <conditionalFormatting sqref="H22:K22">
    <cfRule type="expression" dxfId="37" priority="21">
      <formula>H22&gt;(MIN($G22:G22))</formula>
    </cfRule>
  </conditionalFormatting>
  <conditionalFormatting sqref="H21:K21">
    <cfRule type="expression" dxfId="36" priority="20">
      <formula>H21&lt;(MAX($G21:G21))</formula>
    </cfRule>
  </conditionalFormatting>
  <conditionalFormatting sqref="I26:L26">
    <cfRule type="expression" dxfId="35" priority="19">
      <formula>I26&gt;(MIN($H26:H26))</formula>
    </cfRule>
  </conditionalFormatting>
  <conditionalFormatting sqref="I25:L25">
    <cfRule type="expression" dxfId="34" priority="18">
      <formula>I25&lt;(MAX($H25:H25))</formula>
    </cfRule>
  </conditionalFormatting>
  <conditionalFormatting sqref="J30:L30">
    <cfRule type="expression" dxfId="33" priority="17">
      <formula>J30&gt;(MIN($I30:I30))</formula>
    </cfRule>
  </conditionalFormatting>
  <conditionalFormatting sqref="J29:L29">
    <cfRule type="expression" dxfId="32" priority="16">
      <formula>J29&lt;(MAX($I29:I29))</formula>
    </cfRule>
  </conditionalFormatting>
  <conditionalFormatting sqref="K34:L34">
    <cfRule type="expression" dxfId="31" priority="15">
      <formula>K34&gt;(MIN($J34:J34))</formula>
    </cfRule>
  </conditionalFormatting>
  <conditionalFormatting sqref="K33:L33">
    <cfRule type="expression" dxfId="30" priority="14">
      <formula>K33&lt;(MAX($J33:J33))</formula>
    </cfRule>
  </conditionalFormatting>
  <conditionalFormatting sqref="L38">
    <cfRule type="expression" dxfId="29" priority="13">
      <formula>L38&gt;(MIN($G38:K38))</formula>
    </cfRule>
  </conditionalFormatting>
  <conditionalFormatting sqref="L37">
    <cfRule type="expression" dxfId="28" priority="12">
      <formula>L37&lt;(MAX($K37:K37))</formula>
    </cfRule>
  </conditionalFormatting>
  <conditionalFormatting sqref="I15 J19 K23 L27">
    <cfRule type="expression" dxfId="27" priority="11">
      <formula>I15&lt;$H$8</formula>
    </cfRule>
  </conditionalFormatting>
  <conditionalFormatting sqref="M12:N15">
    <cfRule type="expression" dxfId="26" priority="1">
      <formula>$I$15&lt;$H$8</formula>
    </cfRule>
  </conditionalFormatting>
  <conditionalFormatting sqref="M16:N19">
    <cfRule type="expression" dxfId="25" priority="4">
      <formula>$J$19&lt;$H$8</formula>
    </cfRule>
  </conditionalFormatting>
  <conditionalFormatting sqref="M20:N23">
    <cfRule type="expression" dxfId="24" priority="3">
      <formula>$K$23&lt;$H$8</formula>
    </cfRule>
  </conditionalFormatting>
  <conditionalFormatting sqref="M24:N27">
    <cfRule type="expression" dxfId="23" priority="2">
      <formula>$L$27&lt;$H$8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20</vt:i4>
      </vt:variant>
    </vt:vector>
  </HeadingPairs>
  <TitlesOfParts>
    <vt:vector size="34" baseType="lpstr">
      <vt:lpstr>Circuit Criminal</vt:lpstr>
      <vt:lpstr>Drug Trafficking</vt:lpstr>
      <vt:lpstr>County Criminal</vt:lpstr>
      <vt:lpstr>Juvenile Delinquency</vt:lpstr>
      <vt:lpstr>Criminal Traffic</vt:lpstr>
      <vt:lpstr>Circuit Civil</vt:lpstr>
      <vt:lpstr>County Civil</vt:lpstr>
      <vt:lpstr>Probate</vt:lpstr>
      <vt:lpstr>Family</vt:lpstr>
      <vt:lpstr>Civil Traffic</vt:lpstr>
      <vt:lpstr>Sheet2</vt:lpstr>
      <vt:lpstr>Sheet1</vt:lpstr>
      <vt:lpstr>LookupData</vt:lpstr>
      <vt:lpstr>ReportInfo</vt:lpstr>
      <vt:lpstr>'Circuit Civil'!Print_Area</vt:lpstr>
      <vt:lpstr>'Circuit Criminal'!Print_Area</vt:lpstr>
      <vt:lpstr>'Civil Traffic'!Print_Area</vt:lpstr>
      <vt:lpstr>'County Civil'!Print_Area</vt:lpstr>
      <vt:lpstr>'County Criminal'!Print_Area</vt:lpstr>
      <vt:lpstr>'Criminal Traffic'!Print_Area</vt:lpstr>
      <vt:lpstr>'Drug Trafficking'!Print_Area</vt:lpstr>
      <vt:lpstr>Family!Print_Area</vt:lpstr>
      <vt:lpstr>'Juvenile Delinquency'!Print_Area</vt:lpstr>
      <vt:lpstr>Probate!Print_Area</vt:lpstr>
      <vt:lpstr>'Circuit Civil'!Print_Titles</vt:lpstr>
      <vt:lpstr>'Circuit Criminal'!Print_Titles</vt:lpstr>
      <vt:lpstr>'Civil Traffic'!Print_Titles</vt:lpstr>
      <vt:lpstr>'County Civil'!Print_Titles</vt:lpstr>
      <vt:lpstr>'County Criminal'!Print_Titles</vt:lpstr>
      <vt:lpstr>'Criminal Traffic'!Print_Titles</vt:lpstr>
      <vt:lpstr>'Drug Trafficking'!Print_Titles</vt:lpstr>
      <vt:lpstr>Family!Print_Titles</vt:lpstr>
      <vt:lpstr>'Juvenile Delinquency'!Print_Titles</vt:lpstr>
      <vt:lpstr>Probate!Print_Titles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2019-07-16T20:05:28Z</cp:lastPrinted>
  <dcterms:created xsi:type="dcterms:W3CDTF">1996-10-14T23:33:28Z</dcterms:created>
  <dcterms:modified xsi:type="dcterms:W3CDTF">2019-07-19T15:49:32Z</dcterms:modified>
</cp:coreProperties>
</file>