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33" i="44"/>
  <c r="R26" i="44"/>
  <c r="R18" i="44"/>
  <c r="R11" i="44"/>
  <c r="E239" i="52" s="1"/>
  <c r="O7" i="49"/>
  <c r="P45" i="49"/>
  <c r="O45" i="49"/>
  <c r="N45" i="49"/>
  <c r="M45" i="49"/>
  <c r="P44" i="49"/>
  <c r="O44" i="49"/>
  <c r="N44" i="49"/>
  <c r="M44" i="49"/>
  <c r="P43" i="49"/>
  <c r="O43" i="49"/>
  <c r="N43" i="49"/>
  <c r="M43" i="49"/>
  <c r="P42" i="49"/>
  <c r="O42" i="49"/>
  <c r="N42" i="49"/>
  <c r="M42" i="49"/>
  <c r="P41" i="49"/>
  <c r="O41" i="49"/>
  <c r="N41" i="49"/>
  <c r="M41" i="49"/>
  <c r="P40" i="49"/>
  <c r="O40" i="49"/>
  <c r="N40" i="49"/>
  <c r="M40" i="49"/>
  <c r="P39" i="49"/>
  <c r="O39" i="49"/>
  <c r="N39" i="49"/>
  <c r="M39" i="49"/>
  <c r="P38" i="49"/>
  <c r="O38" i="49"/>
  <c r="N38" i="49"/>
  <c r="M38" i="49"/>
  <c r="P37" i="49"/>
  <c r="O37" i="49"/>
  <c r="N37" i="49"/>
  <c r="M37" i="49"/>
  <c r="P36" i="49"/>
  <c r="O36" i="49"/>
  <c r="N36" i="49"/>
  <c r="M36" i="49"/>
  <c r="M23" i="49"/>
  <c r="L45" i="49"/>
  <c r="P31" i="49"/>
  <c r="O31" i="49"/>
  <c r="N31" i="49"/>
  <c r="M31" i="49"/>
  <c r="P30" i="49"/>
  <c r="O30" i="49"/>
  <c r="N30" i="49"/>
  <c r="M30" i="49"/>
  <c r="L30" i="49"/>
  <c r="P29" i="49"/>
  <c r="O29" i="49"/>
  <c r="N29" i="49"/>
  <c r="M29" i="49"/>
  <c r="P28" i="49"/>
  <c r="O28" i="49"/>
  <c r="N28" i="49"/>
  <c r="M28" i="49"/>
  <c r="P27" i="49"/>
  <c r="O27" i="49"/>
  <c r="N27" i="49"/>
  <c r="M27" i="49"/>
  <c r="P26" i="49"/>
  <c r="O26" i="49"/>
  <c r="N26" i="49"/>
  <c r="M26" i="49"/>
  <c r="P25" i="49"/>
  <c r="O25" i="49"/>
  <c r="N25" i="49"/>
  <c r="M25" i="49"/>
  <c r="P24" i="49"/>
  <c r="O24" i="49"/>
  <c r="N24" i="49"/>
  <c r="M24" i="49"/>
  <c r="P23" i="49"/>
  <c r="O23" i="49"/>
  <c r="N23" i="49"/>
  <c r="J33" i="44"/>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53"/>
  <c r="E10" i="44"/>
  <c r="E76" i="44" s="1"/>
  <c r="F76" i="44" s="1"/>
  <c r="G76" i="44" s="1"/>
  <c r="H76" i="44" s="1"/>
  <c r="I76" i="44" s="1"/>
  <c r="J76" i="44" s="1"/>
  <c r="K76" i="44" s="1"/>
  <c r="L76" i="44" s="1"/>
  <c r="M76" i="44" s="1"/>
  <c r="N76" i="44" s="1"/>
  <c r="O76" i="44" s="1"/>
  <c r="P76" i="44" s="1"/>
  <c r="P44" i="44"/>
  <c r="P44" i="53" s="1"/>
  <c r="O44" i="44"/>
  <c r="O44" i="53" s="1"/>
  <c r="N44" i="44"/>
  <c r="N44" i="53" s="1"/>
  <c r="M44" i="44"/>
  <c r="M44" i="53" s="1"/>
  <c r="L44" i="44"/>
  <c r="L44" i="53" s="1"/>
  <c r="K44" i="44"/>
  <c r="K44" i="53" s="1"/>
  <c r="J44" i="44"/>
  <c r="J44" i="53" s="1"/>
  <c r="I44" i="44"/>
  <c r="I44" i="53" s="1"/>
  <c r="H44" i="44"/>
  <c r="H44" i="53" s="1"/>
  <c r="G44" i="53"/>
  <c r="F44" i="53"/>
  <c r="P43" i="44"/>
  <c r="P43" i="53" s="1"/>
  <c r="O43" i="44"/>
  <c r="O43" i="53" s="1"/>
  <c r="N43" i="44"/>
  <c r="N43" i="53" s="1"/>
  <c r="M43" i="44"/>
  <c r="M43" i="53" s="1"/>
  <c r="L43" i="44"/>
  <c r="L43" i="53" s="1"/>
  <c r="K43" i="44"/>
  <c r="K43" i="53" s="1"/>
  <c r="J43" i="44"/>
  <c r="J43" i="53" s="1"/>
  <c r="I43" i="44"/>
  <c r="I43" i="53" s="1"/>
  <c r="H43" i="53"/>
  <c r="G43" i="53"/>
  <c r="F43" i="53"/>
  <c r="P42" i="44"/>
  <c r="P42" i="53" s="1"/>
  <c r="O42" i="44"/>
  <c r="O42" i="53" s="1"/>
  <c r="N42" i="44"/>
  <c r="N42" i="53" s="1"/>
  <c r="M42" i="44"/>
  <c r="M42" i="53" s="1"/>
  <c r="L42" i="44"/>
  <c r="L42" i="53" s="1"/>
  <c r="K42" i="44"/>
  <c r="K42" i="53" s="1"/>
  <c r="J42" i="44"/>
  <c r="J42" i="53" s="1"/>
  <c r="I42" i="44"/>
  <c r="I42" i="53" s="1"/>
  <c r="H42" i="44"/>
  <c r="H42" i="53" s="1"/>
  <c r="G42" i="53"/>
  <c r="F42" i="53"/>
  <c r="P41" i="44"/>
  <c r="P41" i="53" s="1"/>
  <c r="O41" i="44"/>
  <c r="O41" i="53" s="1"/>
  <c r="N41" i="44"/>
  <c r="N41" i="53" s="1"/>
  <c r="M41" i="44"/>
  <c r="M41" i="53" s="1"/>
  <c r="L41" i="44"/>
  <c r="L41" i="53" s="1"/>
  <c r="K41" i="44"/>
  <c r="K41" i="53" s="1"/>
  <c r="J41" i="44"/>
  <c r="J41" i="53" s="1"/>
  <c r="I41" i="44"/>
  <c r="I41" i="53" s="1"/>
  <c r="H41" i="53"/>
  <c r="G41" i="53"/>
  <c r="F41" i="53"/>
  <c r="P40" i="44"/>
  <c r="P40" i="53" s="1"/>
  <c r="O40" i="44"/>
  <c r="O40" i="53" s="1"/>
  <c r="N40" i="44"/>
  <c r="N40" i="53" s="1"/>
  <c r="M40" i="44"/>
  <c r="M40" i="53" s="1"/>
  <c r="L40" i="44"/>
  <c r="L40" i="53" s="1"/>
  <c r="K40" i="44"/>
  <c r="K40" i="53" s="1"/>
  <c r="J40" i="44"/>
  <c r="J40" i="53" s="1"/>
  <c r="I40" i="44"/>
  <c r="I40" i="53" s="1"/>
  <c r="H40" i="44"/>
  <c r="H40" i="53" s="1"/>
  <c r="G40" i="53"/>
  <c r="F40" i="53"/>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53"/>
  <c r="H45" i="53"/>
  <c r="I45" i="44"/>
  <c r="I45" i="53" s="1"/>
  <c r="J45" i="44"/>
  <c r="J45" i="53" s="1"/>
  <c r="K45" i="44"/>
  <c r="K45" i="53" s="1"/>
  <c r="L45" i="44"/>
  <c r="L45" i="53" s="1"/>
  <c r="F46" i="53"/>
  <c r="G46" i="53"/>
  <c r="H46" i="53"/>
  <c r="I46" i="44"/>
  <c r="I46" i="53" s="1"/>
  <c r="J46" i="44"/>
  <c r="J46" i="53" s="1"/>
  <c r="K46" i="44"/>
  <c r="K46" i="53" s="1"/>
  <c r="L46" i="44"/>
  <c r="L46" i="53" s="1"/>
  <c r="F47" i="53"/>
  <c r="G47" i="53"/>
  <c r="H47" i="53"/>
  <c r="I47" i="44"/>
  <c r="I47" i="53" s="1"/>
  <c r="J47" i="44"/>
  <c r="J47" i="53" s="1"/>
  <c r="K47" i="44"/>
  <c r="K47" i="53" s="1"/>
  <c r="L47" i="44"/>
  <c r="L47" i="53" s="1"/>
  <c r="F48" i="53"/>
  <c r="G48" i="53"/>
  <c r="H48" i="53"/>
  <c r="I48" i="44"/>
  <c r="I48" i="53" s="1"/>
  <c r="J48" i="44"/>
  <c r="J48" i="53" s="1"/>
  <c r="K48" i="44"/>
  <c r="K48" i="53" s="1"/>
  <c r="L48" i="44"/>
  <c r="L48" i="53" s="1"/>
  <c r="F49" i="53"/>
  <c r="G49" i="53"/>
  <c r="H49" i="53"/>
  <c r="I49" i="44"/>
  <c r="I49" i="53" s="1"/>
  <c r="J49" i="44"/>
  <c r="J49" i="53" s="1"/>
  <c r="K49" i="44"/>
  <c r="K49" i="53" s="1"/>
  <c r="L49" i="44"/>
  <c r="L49" i="53" s="1"/>
  <c r="F50" i="53"/>
  <c r="G50" i="53"/>
  <c r="H50" i="53"/>
  <c r="I50" i="44"/>
  <c r="I50" i="53" s="1"/>
  <c r="J50" i="44"/>
  <c r="J50" i="53" s="1"/>
  <c r="K50" i="44"/>
  <c r="K50" i="53" s="1"/>
  <c r="L50" i="44"/>
  <c r="L50" i="53" s="1"/>
  <c r="F51" i="53"/>
  <c r="G51" i="53"/>
  <c r="H51" i="44"/>
  <c r="H51" i="53" s="1"/>
  <c r="I51" i="44"/>
  <c r="I51" i="53" s="1"/>
  <c r="J51" i="44"/>
  <c r="J51" i="53" s="1"/>
  <c r="K51" i="44"/>
  <c r="K51" i="53" s="1"/>
  <c r="L51" i="44"/>
  <c r="L51" i="53" s="1"/>
  <c r="F52" i="53"/>
  <c r="G52" i="53"/>
  <c r="H52" i="44"/>
  <c r="H52" i="53" s="1"/>
  <c r="I52" i="44"/>
  <c r="I52" i="53" s="1"/>
  <c r="J52" i="44"/>
  <c r="J52" i="53" s="1"/>
  <c r="K52" i="44"/>
  <c r="K52" i="53" s="1"/>
  <c r="L52" i="44"/>
  <c r="L52" i="53" s="1"/>
  <c r="F53" i="53"/>
  <c r="G53" i="53"/>
  <c r="H53" i="44"/>
  <c r="H53" i="53" s="1"/>
  <c r="I53" i="44"/>
  <c r="I53" i="53" s="1"/>
  <c r="J53" i="44"/>
  <c r="J53" i="53" s="1"/>
  <c r="K53" i="44"/>
  <c r="K53" i="53" s="1"/>
  <c r="L53" i="44"/>
  <c r="L53" i="53" s="1"/>
  <c r="F54" i="53"/>
  <c r="G54" i="53"/>
  <c r="H54" i="53"/>
  <c r="I54" i="44"/>
  <c r="I54" i="53" s="1"/>
  <c r="J54" i="44"/>
  <c r="J54" i="53" s="1"/>
  <c r="K54" i="44"/>
  <c r="K54" i="53" s="1"/>
  <c r="L54" i="44"/>
  <c r="L54" i="53" s="1"/>
  <c r="F55" i="53"/>
  <c r="G55" i="53"/>
  <c r="H55" i="44"/>
  <c r="H55" i="53" s="1"/>
  <c r="I55" i="44"/>
  <c r="I55" i="53" s="1"/>
  <c r="J55" i="44"/>
  <c r="J55" i="53" s="1"/>
  <c r="K55" i="44"/>
  <c r="K55" i="53" s="1"/>
  <c r="L55" i="44"/>
  <c r="L55" i="53" s="1"/>
  <c r="F56" i="53"/>
  <c r="G56" i="53"/>
  <c r="H56" i="44"/>
  <c r="H56" i="53" s="1"/>
  <c r="I56" i="44"/>
  <c r="I56" i="53" s="1"/>
  <c r="J56" i="44"/>
  <c r="J56" i="53" s="1"/>
  <c r="K56" i="44"/>
  <c r="K56" i="53" s="1"/>
  <c r="L56" i="44"/>
  <c r="L56" i="53" s="1"/>
  <c r="F57" i="53"/>
  <c r="G57" i="53"/>
  <c r="H57" i="44"/>
  <c r="H57" i="53" s="1"/>
  <c r="I57" i="44"/>
  <c r="I57" i="53" s="1"/>
  <c r="J57" i="44"/>
  <c r="J57" i="53" s="1"/>
  <c r="K57" i="44"/>
  <c r="K57" i="53" s="1"/>
  <c r="L57" i="44"/>
  <c r="L57" i="53" s="1"/>
  <c r="F58" i="53"/>
  <c r="G58" i="53"/>
  <c r="H58" i="44"/>
  <c r="H58" i="53" s="1"/>
  <c r="I58" i="44"/>
  <c r="I58" i="53" s="1"/>
  <c r="J58" i="44"/>
  <c r="J58" i="53" s="1"/>
  <c r="K58" i="44"/>
  <c r="K58" i="53" s="1"/>
  <c r="L58" i="44"/>
  <c r="L58" i="53" s="1"/>
  <c r="F59" i="53"/>
  <c r="G59" i="53"/>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44"/>
  <c r="K71" i="53" s="1"/>
  <c r="J71" i="44"/>
  <c r="J71" i="53" s="1"/>
  <c r="I71" i="44"/>
  <c r="I71" i="53" s="1"/>
  <c r="H71" i="53"/>
  <c r="G71" i="53"/>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44"/>
  <c r="K68" i="53" s="1"/>
  <c r="J68" i="44"/>
  <c r="J68" i="53" s="1"/>
  <c r="I68" i="44"/>
  <c r="I68" i="53" s="1"/>
  <c r="H68" i="53"/>
  <c r="G68" i="53"/>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44"/>
  <c r="K65" i="53" s="1"/>
  <c r="J65" i="44"/>
  <c r="J65" i="53" s="1"/>
  <c r="I65" i="44"/>
  <c r="I65" i="53" s="1"/>
  <c r="H65" i="53"/>
  <c r="G65" i="53"/>
  <c r="P64" i="44"/>
  <c r="P64" i="53" s="1"/>
  <c r="O64" i="44"/>
  <c r="O64" i="53" s="1"/>
  <c r="N64" i="44"/>
  <c r="N64" i="53" s="1"/>
  <c r="M64" i="44"/>
  <c r="M64" i="53" s="1"/>
  <c r="P63" i="44"/>
  <c r="P63" i="53" s="1"/>
  <c r="O63" i="44"/>
  <c r="O63" i="53" s="1"/>
  <c r="N63" i="44"/>
  <c r="N63" i="53" s="1"/>
  <c r="M63" i="44"/>
  <c r="M63" i="53" s="1"/>
  <c r="L67" i="44"/>
  <c r="L67" i="53" s="1"/>
  <c r="K67" i="44"/>
  <c r="K67" i="53" s="1"/>
  <c r="J67" i="44"/>
  <c r="J67" i="53" s="1"/>
  <c r="I67" i="44"/>
  <c r="I67" i="53" s="1"/>
  <c r="H67" i="53"/>
  <c r="G67" i="53"/>
  <c r="L66" i="44"/>
  <c r="L66" i="53" s="1"/>
  <c r="K66" i="44"/>
  <c r="K66" i="53" s="1"/>
  <c r="J66" i="44"/>
  <c r="J66" i="53" s="1"/>
  <c r="I66" i="44"/>
  <c r="I66" i="53" s="1"/>
  <c r="H66" i="53"/>
  <c r="G66" i="53"/>
  <c r="L64" i="44"/>
  <c r="L64" i="53" s="1"/>
  <c r="K64" i="44"/>
  <c r="K64" i="53" s="1"/>
  <c r="J64" i="44"/>
  <c r="J64" i="53" s="1"/>
  <c r="I64" i="44"/>
  <c r="I64" i="53" s="1"/>
  <c r="H64" i="53"/>
  <c r="L63" i="44"/>
  <c r="L63" i="53" s="1"/>
  <c r="K63" i="44"/>
  <c r="K63" i="53" s="1"/>
  <c r="J63" i="44"/>
  <c r="J63" i="53" s="1"/>
  <c r="I63" i="44"/>
  <c r="I63" i="53" s="1"/>
  <c r="H63" i="53"/>
  <c r="G63" i="53"/>
  <c r="K70" i="44"/>
  <c r="K70" i="53" s="1"/>
  <c r="J70" i="44"/>
  <c r="J70" i="53" s="1"/>
  <c r="I70" i="44"/>
  <c r="I70" i="53" s="1"/>
  <c r="H70" i="53"/>
  <c r="G70" i="53"/>
  <c r="K69" i="44"/>
  <c r="K69" i="53" s="1"/>
  <c r="J69" i="44"/>
  <c r="J69" i="53" s="1"/>
  <c r="I69" i="44"/>
  <c r="I69" i="53" s="1"/>
  <c r="H69" i="53"/>
  <c r="G69" i="53"/>
  <c r="K73" i="44"/>
  <c r="K73" i="53" s="1"/>
  <c r="J73" i="44"/>
  <c r="J73" i="53" s="1"/>
  <c r="I73" i="44"/>
  <c r="I73" i="53" s="1"/>
  <c r="H73" i="44"/>
  <c r="H73" i="53" s="1"/>
  <c r="G73" i="53"/>
  <c r="K72" i="44"/>
  <c r="K72" i="53" s="1"/>
  <c r="J72" i="44"/>
  <c r="J72" i="53" s="1"/>
  <c r="I72" i="44"/>
  <c r="I72" i="53" s="1"/>
  <c r="H72" i="44"/>
  <c r="H72" i="53" s="1"/>
  <c r="G72" i="53"/>
  <c r="O83" i="44"/>
  <c r="O83" i="53" s="1"/>
  <c r="P84" i="44"/>
  <c r="P84" i="53" s="1"/>
  <c r="O84" i="44"/>
  <c r="O84" i="53" s="1"/>
  <c r="N84" i="44"/>
  <c r="N84" i="53" s="1"/>
  <c r="M84" i="44"/>
  <c r="M84" i="53" s="1"/>
  <c r="L84" i="44"/>
  <c r="L84" i="53" s="1"/>
  <c r="K84" i="44"/>
  <c r="K84" i="53" s="1"/>
  <c r="J84" i="44"/>
  <c r="J84" i="53" s="1"/>
  <c r="I84" i="44"/>
  <c r="I84" i="53" s="1"/>
  <c r="H84" i="53"/>
  <c r="G84" i="53"/>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44"/>
  <c r="K80" i="53" s="1"/>
  <c r="J80" i="44"/>
  <c r="J80" i="53" s="1"/>
  <c r="I80" i="44"/>
  <c r="I80" i="53" s="1"/>
  <c r="H80" i="53"/>
  <c r="G80" i="53"/>
  <c r="F80" i="53"/>
  <c r="E80" i="53"/>
  <c r="E81" i="53"/>
  <c r="F81" i="53"/>
  <c r="G81" i="53"/>
  <c r="H81" i="53"/>
  <c r="I81" i="44"/>
  <c r="I81" i="53" s="1"/>
  <c r="J81" i="44"/>
  <c r="J81" i="53" s="1"/>
  <c r="K81" i="44"/>
  <c r="K81" i="53" s="1"/>
  <c r="L81" i="44"/>
  <c r="L81" i="53" s="1"/>
  <c r="E82" i="53"/>
  <c r="F82" i="53"/>
  <c r="G82" i="53"/>
  <c r="H82" i="53"/>
  <c r="I82" i="44"/>
  <c r="I82" i="53" s="1"/>
  <c r="J82" i="44"/>
  <c r="J82" i="53" s="1"/>
  <c r="K82" i="44"/>
  <c r="K82" i="53" s="1"/>
  <c r="L82" i="44"/>
  <c r="L82" i="53" s="1"/>
  <c r="E83" i="53"/>
  <c r="F83" i="53"/>
  <c r="G83" i="53"/>
  <c r="H83" i="44"/>
  <c r="H83" i="53" s="1"/>
  <c r="I83" i="44"/>
  <c r="I83" i="53" s="1"/>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44"/>
  <c r="K79" i="53" s="1"/>
  <c r="J79" i="44"/>
  <c r="J79" i="53" s="1"/>
  <c r="I79" i="44"/>
  <c r="I79" i="53" s="1"/>
  <c r="H79" i="44"/>
  <c r="H79" i="53" s="1"/>
  <c r="G79" i="53"/>
  <c r="F79" i="53"/>
  <c r="E79" i="53"/>
  <c r="L78" i="44"/>
  <c r="L78" i="53" s="1"/>
  <c r="K78" i="44"/>
  <c r="K78" i="53" s="1"/>
  <c r="J78" i="44"/>
  <c r="J78" i="53" s="1"/>
  <c r="I78" i="44"/>
  <c r="I78" i="53" s="1"/>
  <c r="H78" i="53"/>
  <c r="G78" i="53"/>
  <c r="F78" i="53"/>
  <c r="E78" i="53"/>
  <c r="L77" i="44"/>
  <c r="L77" i="53" s="1"/>
  <c r="K77" i="44"/>
  <c r="K77" i="53" s="1"/>
  <c r="J77" i="44"/>
  <c r="J77" i="53" s="1"/>
  <c r="I77" i="44"/>
  <c r="I77" i="53" s="1"/>
  <c r="H77" i="53"/>
  <c r="G77" i="53"/>
  <c r="F77" i="53"/>
  <c r="E77" i="53"/>
  <c r="F85" i="53"/>
  <c r="G85" i="53"/>
  <c r="H85" i="53"/>
  <c r="I85" i="44"/>
  <c r="I85" i="53" s="1"/>
  <c r="J85" i="44"/>
  <c r="J85" i="53" s="1"/>
  <c r="K85" i="44"/>
  <c r="K85" i="53" s="1"/>
  <c r="L85" i="44"/>
  <c r="L85" i="53" s="1"/>
  <c r="E86" i="53"/>
  <c r="F86" i="53"/>
  <c r="G86" i="53"/>
  <c r="H86" i="53"/>
  <c r="I86" i="44"/>
  <c r="I86" i="53" s="1"/>
  <c r="J86" i="44"/>
  <c r="J86" i="53" s="1"/>
  <c r="K86" i="44"/>
  <c r="K86" i="53" s="1"/>
  <c r="L86" i="44"/>
  <c r="L86" i="53" s="1"/>
  <c r="E87" i="53"/>
  <c r="F87" i="53"/>
  <c r="G87" i="53"/>
  <c r="H87" i="53"/>
  <c r="I87" i="44"/>
  <c r="I87" i="53" s="1"/>
  <c r="J87" i="44"/>
  <c r="J87" i="53" s="1"/>
  <c r="K87" i="44"/>
  <c r="K87" i="53" s="1"/>
  <c r="L87" i="44"/>
  <c r="L87" i="53" s="1"/>
  <c r="E88" i="44"/>
  <c r="E88" i="53" s="1"/>
  <c r="F88" i="53"/>
  <c r="G88" i="53"/>
  <c r="H88" i="53"/>
  <c r="I88" i="44"/>
  <c r="I88" i="53" s="1"/>
  <c r="J88" i="44"/>
  <c r="J88" i="53" s="1"/>
  <c r="K88" i="44"/>
  <c r="K88" i="53" s="1"/>
  <c r="L88" i="44"/>
  <c r="L88" i="53" s="1"/>
  <c r="E89" i="53"/>
  <c r="F89" i="53"/>
  <c r="G89" i="53"/>
  <c r="H89" i="53"/>
  <c r="I89" i="44"/>
  <c r="I89" i="53" s="1"/>
  <c r="J89" i="44"/>
  <c r="J89" i="53" s="1"/>
  <c r="K89" i="44"/>
  <c r="K89" i="53" s="1"/>
  <c r="L89" i="44"/>
  <c r="L89" i="53" s="1"/>
  <c r="E90" i="44"/>
  <c r="E90" i="53" s="1"/>
  <c r="F90" i="53"/>
  <c r="G90" i="53"/>
  <c r="H90" i="44"/>
  <c r="H90" i="53" s="1"/>
  <c r="I90" i="44"/>
  <c r="I90" i="53" s="1"/>
  <c r="J90" i="44"/>
  <c r="J90" i="53" s="1"/>
  <c r="K90" i="44"/>
  <c r="K90" i="53" s="1"/>
  <c r="L90" i="44"/>
  <c r="L90" i="53" s="1"/>
  <c r="E91" i="44"/>
  <c r="E91" i="53" s="1"/>
  <c r="F91" i="53"/>
  <c r="G91" i="53"/>
  <c r="H91" i="44"/>
  <c r="H91" i="53" s="1"/>
  <c r="I91" i="44"/>
  <c r="I91" i="53" s="1"/>
  <c r="J91" i="44"/>
  <c r="J91" i="53" s="1"/>
  <c r="K91" i="44"/>
  <c r="K91" i="53" s="1"/>
  <c r="L91" i="44"/>
  <c r="L91" i="53" s="1"/>
  <c r="E92" i="44"/>
  <c r="E92" i="53" s="1"/>
  <c r="F92" i="53"/>
  <c r="G92" i="53"/>
  <c r="H92" i="44"/>
  <c r="H92" i="53" s="1"/>
  <c r="I92" i="44"/>
  <c r="I92" i="53" s="1"/>
  <c r="J92" i="44"/>
  <c r="J92" i="53" s="1"/>
  <c r="K92" i="44"/>
  <c r="K92" i="53" s="1"/>
  <c r="L92" i="44"/>
  <c r="L92" i="53" s="1"/>
  <c r="E93" i="44"/>
  <c r="E93" i="53" s="1"/>
  <c r="F93" i="53"/>
  <c r="G93" i="53"/>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44"/>
  <c r="K102" i="53" s="1"/>
  <c r="J102" i="44"/>
  <c r="J102" i="53" s="1"/>
  <c r="I102" i="44"/>
  <c r="I102" i="53" s="1"/>
  <c r="H102" i="53"/>
  <c r="G102" i="53"/>
  <c r="F102" i="53"/>
  <c r="E102" i="53"/>
  <c r="P104" i="44"/>
  <c r="P104" i="53" s="1"/>
  <c r="O104" i="44"/>
  <c r="O104" i="53" s="1"/>
  <c r="N104" i="44"/>
  <c r="N104" i="53" s="1"/>
  <c r="M104" i="44"/>
  <c r="M104" i="53" s="1"/>
  <c r="P103" i="44"/>
  <c r="P103" i="53" s="1"/>
  <c r="O103" i="44"/>
  <c r="O103" i="53" s="1"/>
  <c r="N103" i="44"/>
  <c r="N103" i="53" s="1"/>
  <c r="M103" i="44"/>
  <c r="M103" i="53" s="1"/>
  <c r="E103" i="53"/>
  <c r="F103" i="53"/>
  <c r="G103" i="53"/>
  <c r="H103" i="53"/>
  <c r="I103" i="44"/>
  <c r="I103" i="53" s="1"/>
  <c r="J103" i="44"/>
  <c r="J103" i="53" s="1"/>
  <c r="K103" i="44"/>
  <c r="K103" i="53" s="1"/>
  <c r="L103" i="44"/>
  <c r="L103" i="53" s="1"/>
  <c r="E104" i="53"/>
  <c r="F104" i="53"/>
  <c r="G104" i="53"/>
  <c r="H104" i="53"/>
  <c r="I104" i="44"/>
  <c r="I104" i="53" s="1"/>
  <c r="J104" i="44"/>
  <c r="J104" i="53" s="1"/>
  <c r="K104" i="44"/>
  <c r="K104" i="53" s="1"/>
  <c r="L104" i="44"/>
  <c r="L104" i="53" s="1"/>
  <c r="P105" i="44"/>
  <c r="P105" i="53" s="1"/>
  <c r="O105" i="44"/>
  <c r="O105" i="53" s="1"/>
  <c r="N105" i="44"/>
  <c r="N105" i="53" s="1"/>
  <c r="M105" i="44"/>
  <c r="M105" i="53" s="1"/>
  <c r="L105" i="44"/>
  <c r="L105" i="53" s="1"/>
  <c r="K105" i="44"/>
  <c r="K105" i="53" s="1"/>
  <c r="J105" i="44"/>
  <c r="J105" i="53" s="1"/>
  <c r="I105" i="44"/>
  <c r="I105" i="53" s="1"/>
  <c r="H105" i="53"/>
  <c r="G105" i="53"/>
  <c r="F105" i="53"/>
  <c r="E105" i="53"/>
  <c r="P106" i="44"/>
  <c r="P106" i="53" s="1"/>
  <c r="O106" i="44"/>
  <c r="O106" i="53" s="1"/>
  <c r="N106" i="44"/>
  <c r="N106" i="53" s="1"/>
  <c r="M106" i="44"/>
  <c r="M106" i="53" s="1"/>
  <c r="L106" i="44"/>
  <c r="L106" i="53" s="1"/>
  <c r="K106" i="44"/>
  <c r="K106" i="53" s="1"/>
  <c r="J106" i="44"/>
  <c r="J106" i="53" s="1"/>
  <c r="I106" i="44"/>
  <c r="I106" i="53" s="1"/>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53"/>
  <c r="F107" i="53"/>
  <c r="E107" i="44"/>
  <c r="E107" i="53" s="1"/>
  <c r="L101" i="44"/>
  <c r="L101" i="53" s="1"/>
  <c r="K101" i="44"/>
  <c r="K101" i="53" s="1"/>
  <c r="J101" i="44"/>
  <c r="J101" i="53" s="1"/>
  <c r="I101" i="44"/>
  <c r="I101" i="53" s="1"/>
  <c r="H101" i="53"/>
  <c r="G101" i="53"/>
  <c r="F101" i="53"/>
  <c r="E101" i="53"/>
  <c r="L100" i="44"/>
  <c r="L100" i="53" s="1"/>
  <c r="K100" i="44"/>
  <c r="K100" i="53" s="1"/>
  <c r="J100" i="44"/>
  <c r="J100" i="53" s="1"/>
  <c r="I100" i="44"/>
  <c r="I100" i="53" s="1"/>
  <c r="H100" i="53"/>
  <c r="G100" i="53"/>
  <c r="F100" i="53"/>
  <c r="E100" i="53"/>
  <c r="L99" i="44"/>
  <c r="L99" i="53" s="1"/>
  <c r="K99" i="44"/>
  <c r="K99" i="53" s="1"/>
  <c r="J99" i="44"/>
  <c r="J99" i="53" s="1"/>
  <c r="I99" i="44"/>
  <c r="I99" i="53" s="1"/>
  <c r="H99" i="53"/>
  <c r="G99" i="53"/>
  <c r="F99" i="53"/>
  <c r="E99" i="53"/>
  <c r="L98" i="44"/>
  <c r="L98" i="53" s="1"/>
  <c r="K98" i="44"/>
  <c r="K98" i="53" s="1"/>
  <c r="J98" i="44"/>
  <c r="J98" i="53" s="1"/>
  <c r="I98" i="44"/>
  <c r="I98" i="53" s="1"/>
  <c r="H98" i="53"/>
  <c r="G98" i="53"/>
  <c r="F98" i="53"/>
  <c r="E98" i="53"/>
  <c r="L97" i="44"/>
  <c r="L97" i="53" s="1"/>
  <c r="K97" i="44"/>
  <c r="K97" i="53" s="1"/>
  <c r="J97" i="44"/>
  <c r="J97" i="53" s="1"/>
  <c r="I97" i="44"/>
  <c r="I97" i="53" s="1"/>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53"/>
  <c r="F119" i="53"/>
  <c r="E119" i="44"/>
  <c r="E119" i="53" s="1"/>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53"/>
  <c r="F118" i="53"/>
  <c r="E118" i="44"/>
  <c r="E118" i="53" s="1"/>
  <c r="L117" i="44"/>
  <c r="L117" i="53" s="1"/>
  <c r="K117" i="44"/>
  <c r="K117" i="53" s="1"/>
  <c r="J117" i="44"/>
  <c r="J117" i="53" s="1"/>
  <c r="I117" i="44"/>
  <c r="I117" i="53" s="1"/>
  <c r="H117" i="44"/>
  <c r="H117" i="53" s="1"/>
  <c r="G117" i="53"/>
  <c r="F117" i="53"/>
  <c r="E117" i="44"/>
  <c r="E117" i="53" s="1"/>
  <c r="L116" i="44"/>
  <c r="L116" i="53" s="1"/>
  <c r="K116" i="44"/>
  <c r="K116" i="53" s="1"/>
  <c r="J116" i="44"/>
  <c r="J116" i="53" s="1"/>
  <c r="I116" i="44"/>
  <c r="I116" i="53" s="1"/>
  <c r="H116" i="44"/>
  <c r="H116" i="53" s="1"/>
  <c r="G116" i="53"/>
  <c r="F116" i="53"/>
  <c r="E116" i="44"/>
  <c r="E116" i="53" s="1"/>
  <c r="L115" i="44"/>
  <c r="L115" i="53" s="1"/>
  <c r="K115" i="44"/>
  <c r="K115" i="53" s="1"/>
  <c r="J115" i="44"/>
  <c r="J115" i="53" s="1"/>
  <c r="I115" i="44"/>
  <c r="I115" i="53" s="1"/>
  <c r="H115" i="53"/>
  <c r="G115" i="53"/>
  <c r="F115" i="53"/>
  <c r="E115" i="53"/>
  <c r="L114" i="44"/>
  <c r="L114" i="53" s="1"/>
  <c r="K114" i="44"/>
  <c r="K114" i="53" s="1"/>
  <c r="J114" i="44"/>
  <c r="J114" i="53" s="1"/>
  <c r="I114" i="44"/>
  <c r="I114" i="53" s="1"/>
  <c r="H114" i="44"/>
  <c r="H114" i="53" s="1"/>
  <c r="G114" i="53"/>
  <c r="F114" i="53"/>
  <c r="E114" i="44"/>
  <c r="E114" i="53" s="1"/>
  <c r="L113" i="44"/>
  <c r="L113" i="53" s="1"/>
  <c r="K113" i="44"/>
  <c r="K113" i="53" s="1"/>
  <c r="J113" i="44"/>
  <c r="J113" i="53" s="1"/>
  <c r="I113" i="44"/>
  <c r="I113" i="53" s="1"/>
  <c r="H113" i="44"/>
  <c r="H113" i="53" s="1"/>
  <c r="G113" i="53"/>
  <c r="F113" i="53"/>
  <c r="E113" i="44"/>
  <c r="E113" i="53" s="1"/>
  <c r="L112" i="44"/>
  <c r="L112" i="53" s="1"/>
  <c r="K112" i="44"/>
  <c r="K112" i="53" s="1"/>
  <c r="J112" i="44"/>
  <c r="J112" i="53" s="1"/>
  <c r="I112" i="44"/>
  <c r="I112" i="53" s="1"/>
  <c r="H112" i="44"/>
  <c r="H112" i="53" s="1"/>
  <c r="G112" i="53"/>
  <c r="F112" i="53"/>
  <c r="E112" i="44"/>
  <c r="E112" i="53" s="1"/>
  <c r="L111" i="44"/>
  <c r="L111" i="53" s="1"/>
  <c r="K111" i="44"/>
  <c r="K111" i="53" s="1"/>
  <c r="J111" i="44"/>
  <c r="J111" i="53" s="1"/>
  <c r="I111" i="44"/>
  <c r="I111" i="53" s="1"/>
  <c r="H111" i="53"/>
  <c r="G111" i="53"/>
  <c r="F111" i="53"/>
  <c r="E111" i="53"/>
  <c r="P123" i="44"/>
  <c r="P123" i="53" s="1"/>
  <c r="O123" i="44"/>
  <c r="O123" i="53" s="1"/>
  <c r="N123" i="44"/>
  <c r="N123" i="53" s="1"/>
  <c r="M123" i="44"/>
  <c r="M123" i="53" s="1"/>
  <c r="L123" i="44"/>
  <c r="L123" i="53" s="1"/>
  <c r="K123" i="44"/>
  <c r="K123" i="53" s="1"/>
  <c r="J123" i="44"/>
  <c r="J123" i="53" s="1"/>
  <c r="I123" i="44"/>
  <c r="I123" i="53" s="1"/>
  <c r="H123" i="53"/>
  <c r="G123" i="53"/>
  <c r="F123" i="53"/>
  <c r="E123" i="53"/>
  <c r="P39" i="44"/>
  <c r="P39" i="53" s="1"/>
  <c r="O39" i="44"/>
  <c r="O39" i="53" s="1"/>
  <c r="N39" i="44"/>
  <c r="N39" i="53" s="1"/>
  <c r="M39" i="44"/>
  <c r="M39" i="53" s="1"/>
  <c r="L39" i="44"/>
  <c r="L39" i="53" s="1"/>
  <c r="K39" i="44"/>
  <c r="K39" i="53" s="1"/>
  <c r="J39" i="44"/>
  <c r="J39" i="53" s="1"/>
  <c r="I39" i="44"/>
  <c r="I39" i="53" s="1"/>
  <c r="H39" i="53"/>
  <c r="G39" i="53"/>
  <c r="F39" i="53"/>
  <c r="P35" i="44"/>
  <c r="P35" i="53" s="1"/>
  <c r="O35" i="44"/>
  <c r="O35" i="53" s="1"/>
  <c r="N35" i="44"/>
  <c r="N35" i="53" s="1"/>
  <c r="M35" i="44"/>
  <c r="M35" i="53" s="1"/>
  <c r="L35" i="44"/>
  <c r="L35" i="53" s="1"/>
  <c r="K35" i="44"/>
  <c r="K35" i="53" s="1"/>
  <c r="J35" i="44"/>
  <c r="J35" i="53" s="1"/>
  <c r="I35" i="44"/>
  <c r="I35" i="53" s="1"/>
  <c r="H35" i="44"/>
  <c r="H35" i="53" s="1"/>
  <c r="G35" i="53"/>
  <c r="F35" i="53"/>
  <c r="E35" i="44"/>
  <c r="E35" i="53" s="1"/>
  <c r="P34" i="44"/>
  <c r="P34" i="53" s="1"/>
  <c r="O34" i="44"/>
  <c r="O34" i="53" s="1"/>
  <c r="N34" i="44"/>
  <c r="N34" i="53" s="1"/>
  <c r="M34" i="44"/>
  <c r="M34" i="53" s="1"/>
  <c r="L34" i="44"/>
  <c r="L34" i="53" s="1"/>
  <c r="K34" i="44"/>
  <c r="K34" i="53" s="1"/>
  <c r="J34" i="44"/>
  <c r="J34" i="53" s="1"/>
  <c r="I34" i="44"/>
  <c r="I34" i="53" s="1"/>
  <c r="H34" i="53"/>
  <c r="G34" i="53"/>
  <c r="F34" i="53"/>
  <c r="E34" i="53"/>
  <c r="P33" i="44"/>
  <c r="P33" i="53" s="1"/>
  <c r="O33" i="44"/>
  <c r="O33" i="53" s="1"/>
  <c r="N33" i="44"/>
  <c r="N33" i="53" s="1"/>
  <c r="M33" i="44"/>
  <c r="M33" i="53" s="1"/>
  <c r="L33" i="44"/>
  <c r="L33" i="53" s="1"/>
  <c r="K33" i="44"/>
  <c r="K33" i="53" s="1"/>
  <c r="J33" i="53"/>
  <c r="I33" i="44"/>
  <c r="I33" i="53" s="1"/>
  <c r="H33" i="53"/>
  <c r="G33" i="53"/>
  <c r="F33" i="53"/>
  <c r="E33" i="53"/>
  <c r="P29" i="44"/>
  <c r="P29" i="53" s="1"/>
  <c r="O29" i="44"/>
  <c r="O29" i="53" s="1"/>
  <c r="N29" i="44"/>
  <c r="N29" i="53" s="1"/>
  <c r="M29" i="44"/>
  <c r="M29" i="53" s="1"/>
  <c r="L29" i="44"/>
  <c r="L29" i="53" s="1"/>
  <c r="K29" i="44"/>
  <c r="K29" i="53" s="1"/>
  <c r="J29" i="44"/>
  <c r="J29" i="53" s="1"/>
  <c r="I29" i="44"/>
  <c r="I29" i="53" s="1"/>
  <c r="H29" i="44"/>
  <c r="H29" i="53" s="1"/>
  <c r="G29" i="53"/>
  <c r="F29" i="53"/>
  <c r="E29" i="44"/>
  <c r="E29" i="53" s="1"/>
  <c r="P28" i="44"/>
  <c r="P28" i="53" s="1"/>
  <c r="O28" i="44"/>
  <c r="O28" i="53" s="1"/>
  <c r="N28" i="44"/>
  <c r="N28" i="53" s="1"/>
  <c r="M28" i="44"/>
  <c r="M28" i="53" s="1"/>
  <c r="L28" i="44"/>
  <c r="L28" i="53" s="1"/>
  <c r="K28" i="44"/>
  <c r="K28" i="53" s="1"/>
  <c r="J28" i="44"/>
  <c r="J28" i="53" s="1"/>
  <c r="I28" i="44"/>
  <c r="I28" i="53" s="1"/>
  <c r="H28" i="53"/>
  <c r="G28" i="53"/>
  <c r="F28" i="53"/>
  <c r="E28" i="53"/>
  <c r="P27" i="44"/>
  <c r="P27" i="53" s="1"/>
  <c r="O27" i="44"/>
  <c r="O27" i="53" s="1"/>
  <c r="N27" i="44"/>
  <c r="N27" i="53" s="1"/>
  <c r="M27" i="44"/>
  <c r="M27" i="53" s="1"/>
  <c r="L27" i="44"/>
  <c r="L27" i="53" s="1"/>
  <c r="K27" i="44"/>
  <c r="K27" i="53" s="1"/>
  <c r="J27" i="44"/>
  <c r="J27" i="53" s="1"/>
  <c r="I27" i="44"/>
  <c r="I27" i="53" s="1"/>
  <c r="H27" i="44"/>
  <c r="H27" i="53" s="1"/>
  <c r="G27" i="53"/>
  <c r="F27" i="53"/>
  <c r="E27" i="53"/>
  <c r="P26" i="44"/>
  <c r="P26" i="53" s="1"/>
  <c r="O26" i="44"/>
  <c r="O26" i="53" s="1"/>
  <c r="N26" i="44"/>
  <c r="N26" i="53" s="1"/>
  <c r="M26" i="44"/>
  <c r="M26" i="53" s="1"/>
  <c r="L26" i="44"/>
  <c r="L26" i="53" s="1"/>
  <c r="K26" i="44"/>
  <c r="K26" i="53" s="1"/>
  <c r="J26" i="44"/>
  <c r="J26" i="53" s="1"/>
  <c r="I26" i="44"/>
  <c r="I26" i="53" s="1"/>
  <c r="H26" i="53"/>
  <c r="G26" i="53"/>
  <c r="F26" i="53"/>
  <c r="E26" i="53"/>
  <c r="P22" i="44"/>
  <c r="P22" i="53" s="1"/>
  <c r="O22" i="44"/>
  <c r="O22" i="53" s="1"/>
  <c r="N22" i="44"/>
  <c r="N22" i="53" s="1"/>
  <c r="M22" i="44"/>
  <c r="M22" i="53" s="1"/>
  <c r="L22" i="44"/>
  <c r="L22" i="53" s="1"/>
  <c r="K22" i="44"/>
  <c r="K22" i="53" s="1"/>
  <c r="J22" i="44"/>
  <c r="J22" i="53" s="1"/>
  <c r="I22" i="44"/>
  <c r="I22" i="53" s="1"/>
  <c r="H22" i="44"/>
  <c r="H22" i="53" s="1"/>
  <c r="G22" i="53"/>
  <c r="F22" i="53"/>
  <c r="E22" i="44"/>
  <c r="E22" i="53" s="1"/>
  <c r="P21" i="44"/>
  <c r="P21" i="53" s="1"/>
  <c r="O21" i="44"/>
  <c r="O21" i="53" s="1"/>
  <c r="N21" i="44"/>
  <c r="N21" i="53" s="1"/>
  <c r="M21" i="44"/>
  <c r="M21" i="53" s="1"/>
  <c r="L21" i="44"/>
  <c r="L21" i="53" s="1"/>
  <c r="K21" i="44"/>
  <c r="K21" i="53" s="1"/>
  <c r="J21" i="44"/>
  <c r="J21" i="53" s="1"/>
  <c r="I21" i="44"/>
  <c r="I21" i="53" s="1"/>
  <c r="H21" i="44"/>
  <c r="H21" i="53" s="1"/>
  <c r="G21" i="53"/>
  <c r="F21" i="53"/>
  <c r="E21" i="44"/>
  <c r="E21" i="53" s="1"/>
  <c r="P20" i="44"/>
  <c r="P20" i="53" s="1"/>
  <c r="O20" i="44"/>
  <c r="O20" i="53" s="1"/>
  <c r="N20" i="44"/>
  <c r="N20" i="53" s="1"/>
  <c r="M20" i="44"/>
  <c r="M20" i="53" s="1"/>
  <c r="L20" i="44"/>
  <c r="L20" i="53" s="1"/>
  <c r="K20" i="44"/>
  <c r="K20" i="53" s="1"/>
  <c r="J20" i="44"/>
  <c r="J20" i="53" s="1"/>
  <c r="I20" i="44"/>
  <c r="I20" i="53" s="1"/>
  <c r="H20" i="53"/>
  <c r="G20" i="53"/>
  <c r="F20" i="53"/>
  <c r="E20" i="53"/>
  <c r="P19" i="44"/>
  <c r="P19" i="53" s="1"/>
  <c r="O19" i="44"/>
  <c r="O19" i="53" s="1"/>
  <c r="N19" i="44"/>
  <c r="N19" i="53" s="1"/>
  <c r="M19" i="44"/>
  <c r="M19" i="53" s="1"/>
  <c r="L19" i="44"/>
  <c r="L19" i="53" s="1"/>
  <c r="K19" i="44"/>
  <c r="K19" i="53" s="1"/>
  <c r="J19" i="44"/>
  <c r="J19" i="53" s="1"/>
  <c r="I19" i="44"/>
  <c r="I19" i="53" s="1"/>
  <c r="H19" i="53"/>
  <c r="G19" i="53"/>
  <c r="F19" i="53"/>
  <c r="E19" i="53"/>
  <c r="P18" i="44"/>
  <c r="P18" i="53" s="1"/>
  <c r="O18" i="44"/>
  <c r="O18" i="53" s="1"/>
  <c r="N18" i="44"/>
  <c r="N18" i="53" s="1"/>
  <c r="M18" i="44"/>
  <c r="M18" i="53" s="1"/>
  <c r="L18" i="44"/>
  <c r="L18" i="53" s="1"/>
  <c r="K18" i="44"/>
  <c r="K18" i="53" s="1"/>
  <c r="J18" i="44"/>
  <c r="J18" i="53" s="1"/>
  <c r="I18" i="44"/>
  <c r="I18" i="53" s="1"/>
  <c r="H18" i="53"/>
  <c r="G18" i="53"/>
  <c r="F18" i="53"/>
  <c r="E18" i="53"/>
  <c r="P14" i="44"/>
  <c r="P14" i="53" s="1"/>
  <c r="O14" i="44"/>
  <c r="O14" i="53" s="1"/>
  <c r="N14" i="44"/>
  <c r="N14" i="53" s="1"/>
  <c r="M14" i="44"/>
  <c r="M14" i="53" s="1"/>
  <c r="L14" i="44"/>
  <c r="L14" i="53" s="1"/>
  <c r="K14" i="44"/>
  <c r="K14" i="53" s="1"/>
  <c r="J14" i="44"/>
  <c r="J14" i="53" s="1"/>
  <c r="I14" i="44"/>
  <c r="I14" i="53" s="1"/>
  <c r="H14" i="53"/>
  <c r="G14" i="44"/>
  <c r="G14" i="53" s="1"/>
  <c r="F14" i="53"/>
  <c r="E14" i="44"/>
  <c r="E14" i="53" s="1"/>
  <c r="P13" i="44"/>
  <c r="P13" i="53" s="1"/>
  <c r="O13" i="44"/>
  <c r="O13" i="53" s="1"/>
  <c r="N13" i="44"/>
  <c r="N13" i="53" s="1"/>
  <c r="M13" i="44"/>
  <c r="M13" i="53" s="1"/>
  <c r="L13" i="44"/>
  <c r="L13" i="53" s="1"/>
  <c r="K13" i="44"/>
  <c r="K13" i="53" s="1"/>
  <c r="J13" i="44"/>
  <c r="J13" i="53" s="1"/>
  <c r="I13" i="44"/>
  <c r="I13" i="53" s="1"/>
  <c r="H13" i="53"/>
  <c r="G13" i="53"/>
  <c r="F13" i="53"/>
  <c r="E13" i="53"/>
  <c r="P12" i="44"/>
  <c r="P12" i="53" s="1"/>
  <c r="O12" i="44"/>
  <c r="O12" i="53" s="1"/>
  <c r="N12" i="44"/>
  <c r="N12" i="53" s="1"/>
  <c r="M12" i="44"/>
  <c r="M12" i="53" s="1"/>
  <c r="L12" i="44"/>
  <c r="L12" i="53" s="1"/>
  <c r="K12" i="44"/>
  <c r="K12" i="53" s="1"/>
  <c r="J12" i="44"/>
  <c r="J12" i="53" s="1"/>
  <c r="I12" i="44"/>
  <c r="I12" i="53" s="1"/>
  <c r="H12" i="53"/>
  <c r="G12" i="53"/>
  <c r="F12" i="53"/>
  <c r="E12" i="53"/>
  <c r="P11" i="44"/>
  <c r="P11" i="53" s="1"/>
  <c r="O11" i="44"/>
  <c r="O11" i="53" s="1"/>
  <c r="N11" i="44"/>
  <c r="N11" i="53" s="1"/>
  <c r="M11" i="44"/>
  <c r="M11" i="53" s="1"/>
  <c r="L11" i="44"/>
  <c r="L11" i="53" s="1"/>
  <c r="K11" i="44"/>
  <c r="K11" i="53" s="1"/>
  <c r="J11" i="44"/>
  <c r="J11" i="53" s="1"/>
  <c r="I11" i="44"/>
  <c r="I11" i="53" s="1"/>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I74" i="51"/>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I45" i="49"/>
  <c r="H45" i="49"/>
  <c r="E45" i="49"/>
  <c r="L44" i="49"/>
  <c r="K44" i="49"/>
  <c r="J44" i="49"/>
  <c r="I44" i="49"/>
  <c r="L43" i="49"/>
  <c r="K43" i="49"/>
  <c r="J43" i="49"/>
  <c r="I43" i="49"/>
  <c r="L42" i="49"/>
  <c r="K42" i="49"/>
  <c r="J42" i="49"/>
  <c r="I42" i="49"/>
  <c r="L41" i="49"/>
  <c r="K41" i="49"/>
  <c r="J41" i="49"/>
  <c r="I41" i="49"/>
  <c r="L40" i="49"/>
  <c r="K40" i="49"/>
  <c r="J40" i="49"/>
  <c r="I40" i="49"/>
  <c r="L39" i="49"/>
  <c r="K39" i="49"/>
  <c r="J39" i="49"/>
  <c r="I39" i="49"/>
  <c r="L38" i="49"/>
  <c r="K38" i="49"/>
  <c r="J38" i="49"/>
  <c r="I38" i="49"/>
  <c r="L37" i="49"/>
  <c r="K37" i="49"/>
  <c r="J37" i="49"/>
  <c r="I37" i="49"/>
  <c r="H37" i="49"/>
  <c r="L36" i="49"/>
  <c r="K36" i="49"/>
  <c r="J36" i="49"/>
  <c r="I36" i="49"/>
  <c r="L31" i="49"/>
  <c r="L29" i="49"/>
  <c r="L28" i="49"/>
  <c r="L27" i="49"/>
  <c r="L26" i="49"/>
  <c r="L25" i="49"/>
  <c r="L24" i="49"/>
  <c r="L23" i="49"/>
  <c r="K31" i="49"/>
  <c r="K30" i="49"/>
  <c r="K29" i="49"/>
  <c r="K28" i="49"/>
  <c r="K27" i="49"/>
  <c r="K26" i="49"/>
  <c r="K25" i="49"/>
  <c r="K24" i="49"/>
  <c r="K23" i="49"/>
  <c r="J30" i="49"/>
  <c r="J29" i="49"/>
  <c r="J28" i="49"/>
  <c r="J27" i="49"/>
  <c r="J26" i="49"/>
  <c r="J25" i="49"/>
  <c r="J24" i="49"/>
  <c r="J23" i="49"/>
  <c r="I31" i="49"/>
  <c r="I30" i="49"/>
  <c r="I29" i="49"/>
  <c r="I28" i="49"/>
  <c r="I27" i="49"/>
  <c r="I26" i="49"/>
  <c r="I25" i="49"/>
  <c r="I24" i="49"/>
  <c r="I23" i="49"/>
  <c r="I73" i="51"/>
  <c r="I71" i="51"/>
  <c r="I70" i="51"/>
  <c r="I68" i="51"/>
  <c r="I67" i="51"/>
  <c r="I65" i="51"/>
  <c r="I64" i="51"/>
  <c r="I62" i="51"/>
  <c r="I61" i="51"/>
  <c r="I59" i="51"/>
  <c r="I58" i="51"/>
  <c r="I56" i="51"/>
  <c r="I55" i="51"/>
  <c r="I53" i="51"/>
  <c r="I52" i="51"/>
  <c r="I50" i="51"/>
  <c r="I49" i="51"/>
  <c r="I47" i="51"/>
  <c r="I46" i="51"/>
  <c r="I39" i="51"/>
  <c r="I36" i="51"/>
  <c r="I33" i="51"/>
  <c r="I30" i="51"/>
  <c r="I27" i="51"/>
  <c r="I24" i="51"/>
  <c r="I21" i="51"/>
  <c r="I18" i="51"/>
  <c r="I15" i="51"/>
  <c r="I12" i="51"/>
  <c r="J31"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<sst xmlns="http://schemas.openxmlformats.org/spreadsheetml/2006/main" count="5125" uniqueCount="1914">
  <si>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</si>
  <si>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</si>
  <si>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</si>
  <si>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</si>
  <si>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</si>
  <si>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</si>
  <si>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</si>
  <si>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</si>
  <si>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</si>
  <si>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</si>
  <si>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</si>
  <si>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</si>
  <si>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</si>
  <si>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</si>
  <si>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</si>
  <si>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</si>
  <si>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</si>
  <si>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</si>
  <si>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</si>
  <si>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</si>
  <si>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</si>
  <si>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</si>
  <si>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</si>
  <si>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</si>
  <si>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</si>
  <si>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</si>
  <si>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</si>
  <si>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</si>
  <si>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</si>
  <si>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</si>
  <si>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</si>
  <si>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</si>
  <si>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</si>
  <si>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</si>
  <si>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</si>
  <si>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</si>
  <si>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</si>
  <si>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</si>
  <si>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</si>
  <si>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</si>
  <si>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</si>
  <si>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</si>
  <si>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</si>
  <si>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</si>
  <si>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</si>
  <si>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</si>
  <si>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</si>
  <si>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</si>
  <si>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</si>
  <si>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</si>
  <si>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</si>
  <si>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</si>
  <si>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</si>
  <si>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</si>
  <si>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</si>
  <si>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</si>
  <si>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</si>
  <si>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</si>
  <si>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</si>
  <si>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</si>
  <si>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</si>
  <si>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</si>
  <si>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</si>
  <si>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</si>
  <si>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</si>
  <si>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</si>
  <si>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</si>
  <si>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</si>
  <si>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</si>
  <si>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</si>
  <si>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</si>
  <si>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</si>
  <si>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</si>
  <si>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</si>
  <si>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</si>
  <si>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</si>
  <si>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</si>
  <si>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</si>
  <si>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</si>
  <si>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</si>
  <si>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</si>
  <si>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</si>
  <si>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</si>
  <si>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</si>
  <si>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</si>
  <si>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</si>
  <si>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</si>
  <si>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</si>
  <si>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</si>
  <si>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</si>
  <si>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</si>
  <si>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</si>
  <si>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</si>
  <si>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</si>
  <si>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</si>
  <si>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</si>
  <si>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</si>
  <si>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</si>
  <si>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</si>
  <si>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</si>
  <si>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</si>
  <si>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</si>
  <si>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</si>
  <si>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</si>
  <si>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</si>
  <si>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</si>
  <si>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</si>
  <si>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</si>
  <si>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</si>
  <si>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</si>
  <si>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</si>
  <si>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</si>
  <si>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</si>
  <si>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</si>
  <si>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</si>
  <si>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</si>
  <si>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</si>
  <si>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</si>
  <si>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</si>
  <si>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</si>
  <si>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</si>
  <si>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</si>
  <si>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</si>
  <si>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</si>
  <si>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</si>
  <si>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</si>
  <si>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</si>
  <si>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</si>
  <si>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</si>
  <si>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</si>
  <si>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</si>
  <si>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</si>
  <si>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</si>
  <si>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</si>
  <si>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</si>
  <si>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</si>
  <si>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</si>
  <si>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</si>
  <si>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</si>
  <si>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</si>
  <si>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</si>
  <si>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</si>
  <si>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</si>
  <si>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</si>
  <si>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</si>
  <si>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</si>
  <si>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</si>
  <si>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</si>
  <si>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</si>
  <si>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</si>
  <si>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</si>
  <si>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</si>
  <si>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</si>
  <si>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</si>
  <si>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</si>
  <si>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</si>
  <si>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</si>
  <si>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</si>
  <si>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</si>
  <si>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</si>
  <si>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</si>
  <si>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</si>
  <si>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</si>
  <si>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</si>
  <si>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</si>
  <si>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</si>
  <si>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</si>
  <si>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</si>
  <si>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</si>
  <si>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</si>
  <si>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</si>
  <si>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</si>
  <si>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</si>
  <si>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</si>
  <si>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</si>
  <si>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</si>
  <si>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</si>
  <si>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</si>
  <si>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</si>
  <si>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</si>
  <si>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</si>
  <si>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</si>
  <si>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</si>
  <si>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</si>
  <si>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</si>
  <si>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</si>
  <si>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</si>
  <si>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</si>
  <si>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</si>
  <si>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</si>
  <si>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</si>
  <si>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</si>
  <si>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</si>
  <si>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</si>
  <si>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</si>
  <si>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</si>
  <si>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</si>
  <si>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</si>
  <si>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</si>
  <si>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</si>
  <si>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</si>
  <si>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</si>
  <si>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</si>
  <si>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</si>
  <si>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</si>
  <si>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</si>
  <si>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</si>
  <si>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</si>
  <si>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</si>
  <si>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</si>
  <si>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</si>
  <si>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</si>
  <si>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</si>
  <si>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</si>
  <si>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</si>
  <si>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</si>
  <si>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</si>
  <si>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</si>
  <si>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</si>
  <si>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</si>
  <si>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</si>
  <si>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</si>
  <si>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</si>
  <si>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</si>
  <si>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</si>
  <si>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</si>
  <si>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</si>
  <si>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</si>
  <si>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</si>
  <si>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</si>
  <si>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</si>
  <si>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</si>
  <si>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</si>
  <si>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</si>
  <si>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</si>
  <si>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</si>
  <si>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</si>
  <si>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</si>
  <si>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</si>
  <si>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</si>
  <si>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</si>
  <si>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</si>
  <si>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</si>
  <si>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</si>
  <si>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</si>
  <si>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</si>
  <si>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</si>
  <si>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</si>
  <si>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</si>
  <si>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</si>
  <si>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</si>
  <si>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</si>
  <si>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</si>
  <si>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</si>
  <si>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</si>
  <si>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</si>
  <si>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</si>
  <si>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</si>
  <si>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</si>
  <si>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</si>
  <si>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</si>
  <si>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</si>
  <si>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</si>
  <si>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</si>
  <si>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</si>
  <si>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</si>
  <si>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</si>
  <si>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</si>
  <si>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</si>
  <si>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</si>
  <si>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</si>
  <si>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</si>
  <si>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</si>
  <si>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</si>
  <si>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</si>
  <si>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</si>
  <si>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</si>
  <si>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</si>
  <si>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</si>
  <si>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</si>
  <si>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</si>
  <si>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</si>
  <si>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</si>
  <si>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</si>
  <si>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</si>
  <si>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</si>
  <si>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</si>
  <si>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</si>
  <si>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</si>
  <si>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</si>
  <si>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</si>
  <si>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</si>
  <si>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</si>
  <si>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</si>
  <si>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</si>
  <si>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</si>
  <si>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</si>
  <si>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</si>
  <si>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</si>
  <si>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</si>
  <si>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</si>
  <si>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</si>
  <si>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</si>
  <si>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</si>
  <si>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</si>
  <si>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</si>
  <si>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</si>
  <si>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</si>
  <si>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</si>
  <si>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</si>
  <si>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</si>
  <si>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</si>
  <si>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</si>
  <si>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</si>
  <si>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</si>
  <si>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</si>
  <si>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</si>
  <si>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</si>
  <si>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</si>
  <si>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</si>
  <si>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</si>
  <si>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</si>
  <si>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</si>
  <si>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</si>
  <si>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</si>
  <si>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</si>
  <si>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</si>
  <si>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</si>
  <si>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</si>
  <si>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</si>
  <si>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</si>
  <si>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</si>
  <si>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</si>
  <si>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</si>
  <si>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</si>
  <si>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</si>
  <si>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</si>
  <si>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</si>
  <si>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</si>
  <si>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</si>
  <si>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</si>
  <si>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</si>
  <si>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</si>
  <si>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</si>
  <si>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</si>
  <si>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</si>
  <si>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</si>
  <si>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</si>
  <si>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</si>
  <si>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</si>
  <si>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</si>
  <si>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</si>
  <si>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</si>
  <si>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</si>
  <si>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</si>
  <si>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</si>
  <si>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</si>
  <si>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</si>
  <si>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</si>
  <si>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</si>
  <si>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</si>
  <si>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</si>
  <si>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</si>
  <si>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</si>
  <si>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</si>
  <si>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</si>
  <si>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</si>
  <si>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</si>
  <si>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</si>
  <si>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</si>
  <si>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</si>
  <si>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</si>
  <si>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</si>
  <si>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</si>
  <si>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</si>
  <si>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</si>
  <si>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</si>
  <si>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</si>
  <si>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</si>
  <si>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</si>
  <si>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</si>
  <si>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</si>
  <si>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</si>
  <si>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</si>
  <si>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</si>
  <si>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</si>
  <si>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</si>
  <si>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</si>
  <si>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</si>
  <si>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</si>
  <si>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</si>
  <si>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</si>
  <si>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</si>
  <si>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</si>
  <si>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</si>
  <si>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</si>
  <si>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</si>
  <si>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</si>
  <si>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</si>
  <si>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</si>
  <si>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</si>
  <si>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</si>
  <si>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</si>
  <si>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</si>
  <si>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</si>
  <si>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</si>
  <si>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</si>
  <si>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</si>
  <si>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</si>
  <si>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</si>
  <si>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</si>
  <si>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</si>
  <si>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</si>
  <si>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</si>
  <si>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</si>
  <si>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</si>
  <si>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</si>
  <si>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</si>
  <si>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</si>
  <si>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</si>
  <si>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</si>
  <si>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</si>
  <si>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</si>
  <si>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</si>
  <si>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</si>
  <si>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</si>
  <si>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</si>
  <si>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</si>
  <si>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</si>
  <si>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</si>
  <si>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</si>
  <si>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</si>
  <si>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</si>
  <si>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</si>
  <si>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</si>
  <si>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</si>
  <si>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</si>
  <si>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</si>
  <si>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</si>
  <si>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</si>
  <si>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</si>
  <si>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</si>
  <si>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</si>
  <si>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</si>
  <si>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</si>
  <si>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</si>
  <si>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</si>
  <si>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</si>
  <si>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</si>
  <si>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</si>
  <si>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</si>
  <si>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</si>
  <si>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</si>
  <si>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</si>
  <si>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</si>
  <si>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</si>
  <si>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</si>
  <si>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</si>
  <si>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</si>
  <si>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</si>
  <si>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</si>
  <si>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</si>
  <si>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</si>
  <si>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</si>
  <si>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</si>
  <si>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</si>
  <si>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</si>
  <si>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</si>
  <si>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</si>
  <si>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</si>
  <si>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</si>
  <si>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</si>
  <si>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</si>
  <si>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</si>
  <si>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</si>
  <si>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</si>
  <si>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</si>
  <si>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</si>
  <si>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</si>
  <si>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</si>
  <si>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</si>
  <si>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</si>
  <si>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</si>
  <si>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</si>
  <si>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</si>
  <si>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</si>
  <si>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</si>
  <si>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</si>
  <si>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</si>
  <si>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</si>
  <si>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</si>
  <si>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</si>
  <si>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</si>
  <si>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</si>
  <si>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</si>
  <si>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</si>
  <si>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</si>
  <si>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</si>
  <si>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</si>
  <si>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</si>
  <si>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</si>
  <si>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</si>
  <si>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</si>
  <si>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</si>
  <si>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</si>
  <si>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</si>
  <si>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</si>
  <si>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</si>
  <si>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</si>
  <si>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</si>
  <si>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</si>
  <si>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</si>
  <si>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</si>
  <si>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</si>
  <si>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</si>
  <si>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</si>
  <si>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</si>
  <si>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</si>
  <si>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</si>
  <si>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</si>
  <si>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</si>
  <si>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</si>
  <si>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</si>
  <si>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</si>
  <si>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</si>
  <si>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</si>
  <si>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</si>
  <si>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</si>
  <si>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</si>
  <si>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</si>
  <si>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</si>
  <si>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</si>
  <si>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</si>
  <si>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</si>
  <si>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</si>
  <si>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</si>
  <si>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</si>
  <si>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</si>
  <si>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</si>
  <si>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</si>
  <si>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</si>
  <si>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</si>
  <si>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</si>
  <si>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</si>
  <si>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</si>
  <si>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</si>
  <si>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</si>
  <si>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</si>
  <si>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</si>
  <si>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</si>
  <si>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</si>
  <si>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</si>
  <si>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</si>
  <si>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</si>
  <si>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</si>
  <si>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</si>
  <si>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</si>
  <si>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</si>
  <si>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</si>
  <si>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</si>
  <si>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</si>
  <si>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</si>
  <si>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</si>
  <si>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</si>
  <si>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</si>
  <si>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</si>
  <si>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</si>
  <si>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</si>
  <si>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</si>
  <si>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</si>
  <si>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</si>
  <si>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</si>
  <si>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</si>
  <si>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</si>
  <si>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</si>
  <si>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</si>
  <si>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</si>
  <si>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</si>
  <si>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</si>
  <si>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</si>
  <si>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</si>
  <si>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</si>
  <si>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</si>
  <si>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</si>
  <si>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</si>
  <si>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</si>
  <si>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</si>
  <si>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</si>
  <si>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</si>
  <si>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</si>
  <si>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</si>
  <si>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</si>
  <si>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</si>
  <si>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</si>
  <si>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</si>
  <si>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</si>
  <si>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</si>
  <si>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</si>
  <si>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</si>
  <si>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</si>
  <si>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</si>
  <si>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</si>
  <si>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</si>
  <si>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</si>
  <si>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</si>
  <si>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</si>
  <si>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</si>
  <si>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</si>
  <si>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</si>
  <si>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</si>
  <si>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</si>
  <si>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</si>
  <si>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</si>
  <si>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</si>
  <si>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</si>
  <si>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</si>
  <si>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</si>
  <si>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</si>
  <si>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</si>
  <si>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</si>
  <si>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</si>
  <si>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</si>
  <si>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</si>
  <si>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</si>
  <si>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</si>
  <si>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</si>
  <si>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</si>
  <si>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</si>
  <si>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</si>
  <si>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</si>
  <si>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</si>
  <si>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</si>
  <si>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</si>
  <si>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</si>
  <si>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</si>
  <si>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</si>
  <si>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</si>
  <si>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</si>
  <si>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</si>
  <si>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</si>
  <si>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</si>
  <si>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</si>
  <si>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</si>
  <si>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</si>
  <si>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</si>
  <si>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</si>
  <si>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</si>
  <si>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</si>
  <si>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</si>
  <si>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</si>
  <si>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</si>
  <si>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</si>
  <si>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</si>
  <si>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</si>
  <si>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</si>
  <si>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</si>
  <si>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</si>
  <si>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</si>
  <si>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</si>
  <si>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</si>
  <si>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</si>
  <si>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</si>
  <si>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</si>
  <si>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</si>
  <si>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</si>
  <si>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</si>
  <si>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</si>
  <si>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</si>
  <si>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</si>
  <si>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</si>
  <si>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</si>
  <si>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</si>
  <si>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</si>
  <si>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</si>
  <si>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</si>
  <si>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</si>
  <si>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</si>
  <si>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</si>
  <si>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</si>
  <si>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</si>
  <si>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</si>
  <si>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</si>
  <si>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</si>
  <si>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</si>
  <si>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</si>
  <si>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</si>
  <si>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</si>
  <si>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</si>
  <si>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</si>
  <si>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</si>
  <si>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</si>
  <si>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</si>
  <si>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</si>
  <si>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</si>
  <si>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</si>
  <si>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</si>
  <si>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</si>
  <si>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</si>
  <si>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</si>
  <si>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</si>
  <si>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</si>
  <si>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</si>
  <si>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</si>
  <si>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</si>
  <si>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</si>
  <si>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</si>
  <si>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</si>
  <si>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</si>
  <si>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</si>
  <si>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</si>
  <si>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</si>
  <si>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</si>
  <si>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</si>
  <si>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</si>
  <si>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</si>
  <si>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</si>
  <si>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</si>
  <si>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</si>
  <si>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</si>
  <si>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</si>
  <si>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</si>
  <si>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</si>
  <si>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</si>
  <si>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</si>
  <si>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</si>
  <si>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</si>
  <si>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</si>
  <si>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</si>
  <si>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</si>
  <si>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</si>
  <si>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</si>
  <si>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</si>
  <si>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</si>
  <si>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</si>
  <si>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</si>
  <si>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</si>
  <si>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</si>
  <si>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</si>
  <si>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</si>
  <si>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</si>
  <si>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</si>
  <si>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</si>
  <si>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</si>
  <si>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</si>
  <si>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</si>
  <si>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</si>
  <si>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</si>
  <si>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</si>
  <si>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</si>
  <si>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</si>
  <si>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</si>
  <si>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</si>
  <si>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</si>
  <si>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</si>
  <si>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</si>
  <si>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</si>
  <si>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</si>
  <si>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</si>
  <si>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</si>
  <si>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</si>
  <si>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</si>
  <si>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</si>
  <si>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</si>
  <si>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</si>
  <si>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</si>
  <si>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</si>
  <si>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</si>
  <si>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</si>
  <si>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</si>
  <si>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</si>
  <si>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</si>
  <si>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</si>
  <si>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</si>
  <si>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</si>
  <si>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</si>
  <si>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</si>
  <si>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</si>
  <si>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</si>
  <si>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</si>
  <si>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</si>
  <si>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</si>
  <si>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</si>
  <si>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</si>
  <si>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</si>
  <si>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</si>
  <si>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</si>
  <si>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</si>
  <si>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</si>
  <si>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</si>
  <si>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</si>
  <si>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</si>
  <si>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</si>
  <si>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</si>
  <si>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</si>
  <si>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</si>
  <si>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</si>
  <si>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</si>
  <si>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</si>
  <si>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</si>
  <si>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</si>
  <si>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</si>
  <si>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</si>
  <si>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</si>
  <si>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</si>
  <si>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</si>
  <si>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</si>
  <si>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</si>
  <si>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</si>
  <si>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</si>
  <si>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</si>
  <si>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</si>
  <si>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</si>
  <si>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</si>
  <si>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</si>
  <si>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</si>
  <si>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</si>
  <si>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</si>
  <si>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</si>
  <si>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</si>
  <si>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</si>
  <si>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</si>
  <si>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</si>
  <si>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</si>
  <si>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</si>
  <si>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</si>
  <si>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</si>
  <si>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</si>
  <si>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</si>
  <si>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</si>
  <si>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</si>
  <si>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</si>
  <si>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</si>
  <si>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</si>
  <si>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</si>
  <si>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</si>
  <si>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</si>
  <si>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</si>
  <si>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</si>
  <si>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</si>
  <si>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</si>
  <si>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</si>
  <si>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</si>
  <si>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</si>
  <si>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</si>
  <si>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</si>
  <si>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</si>
  <si>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</si>
  <si>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</si>
  <si>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</si>
  <si>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</si>
  <si>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</si>
  <si>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</si>
  <si>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</si>
  <si>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</si>
  <si>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</si>
  <si>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</si>
  <si>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</si>
  <si>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</si>
  <si>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</si>
  <si>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</si>
  <si>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</si>
  <si>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</si>
  <si>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</si>
  <si>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</si>
  <si>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</si>
  <si>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</si>
  <si>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</si>
  <si>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</si>
  <si>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</si>
  <si>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</si>
  <si>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</si>
  <si>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</si>
  <si>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</si>
  <si>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</si>
  <si>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</si>
  <si>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</si>
  <si>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</si>
  <si>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</si>
  <si>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</si>
  <si>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</si>
  <si>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</si>
  <si>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</si>
  <si>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</si>
  <si>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</si>
  <si>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</si>
  <si>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</si>
  <si>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</si>
  <si>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</si>
  <si>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</si>
  <si>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</si>
  <si>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</si>
  <si>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</si>
  <si>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</si>
  <si>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</si>
  <si>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</si>
  <si>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</si>
  <si>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</si>
  <si>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</si>
  <si>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</si>
  <si>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</si>
  <si>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</si>
  <si>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</si>
  <si>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</si>
  <si>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</si>
  <si>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</si>
  <si>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</si>
  <si>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</si>
  <si>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</si>
  <si>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</si>
  <si>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</si>
  <si>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</si>
  <si>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</si>
  <si>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</si>
  <si>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</si>
  <si>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</si>
  <si>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</si>
  <si>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</si>
  <si>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</si>
  <si>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</si>
  <si>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</si>
  <si>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</si>
  <si>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</si>
  <si>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</si>
  <si>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</si>
  <si>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</si>
  <si>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</si>
  <si>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</si>
  <si>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</si>
  <si>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</si>
  <si>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</si>
  <si>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</si>
  <si>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</si>
  <si>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</si>
  <si>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</si>
  <si>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</si>
  <si>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</si>
  <si>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</si>
  <si>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</si>
  <si>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</si>
  <si>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</si>
  <si>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</si>
  <si>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</si>
  <si>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</si>
  <si>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</si>
  <si>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</si>
  <si>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</si>
  <si>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</si>
  <si>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</si>
  <si>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</si>
  <si>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</si>
  <si>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</si>
  <si>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</si>
  <si>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</si>
  <si>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</si>
  <si>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</si>
  <si>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</si>
  <si>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</si>
  <si>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</si>
  <si>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</si>
  <si>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</si>
  <si>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</si>
  <si>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</si>
  <si>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</si>
  <si>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</si>
  <si>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</si>
  <si>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</si>
  <si>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</si>
  <si>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</si>
  <si>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</si>
  <si>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</si>
  <si>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</si>
  <si>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</si>
  <si>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</si>
  <si>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</si>
  <si>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</si>
  <si>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</si>
  <si>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</si>
  <si>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</si>
  <si>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</si>
  <si>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</si>
  <si>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</si>
  <si>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</si>
  <si>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</si>
  <si>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</si>
  <si>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</si>
  <si>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</si>
  <si>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</si>
  <si>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</si>
  <si>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</si>
  <si>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</si>
  <si>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</si>
  <si>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</si>
  <si>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</si>
  <si>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</si>
  <si>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</si>
  <si>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</si>
  <si>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</si>
  <si>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</si>
  <si>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</si>
  <si>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</si>
  <si>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</si>
  <si>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</si>
  <si>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</si>
  <si>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</si>
  <si>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</si>
  <si>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</si>
  <si>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</si>
  <si>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</si>
  <si>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</si>
  <si>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</si>
  <si>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</si>
  <si>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</si>
  <si>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</si>
  <si>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</si>
  <si>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</si>
  <si>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</si>
  <si>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</si>
  <si>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</si>
  <si>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</si>
  <si>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</si>
  <si>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</si>
  <si>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</si>
  <si>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</si>
  <si>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</si>
  <si>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</si>
  <si>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</si>
  <si>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</si>
  <si>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</si>
  <si>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</si>
  <si>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</si>
  <si>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</si>
  <si>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</si>
  <si>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</si>
  <si>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</si>
  <si>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</si>
  <si>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</si>
  <si>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</si>
  <si>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</si>
  <si>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</si>
  <si>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</si>
  <si>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</si>
  <si>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</si>
  <si>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</si>
  <si>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</si>
  <si>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</si>
  <si>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</si>
  <si>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</si>
  <si>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</si>
  <si>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</si>
  <si>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</si>
  <si>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</si>
  <si>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</si>
  <si>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</si>
  <si>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</si>
  <si>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</si>
  <si>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</si>
  <si>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</si>
  <si>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</si>
  <si>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</si>
  <si>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</si>
  <si>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</si>
  <si>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</si>
  <si>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</si>
  <si>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</si>
  <si>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</si>
  <si>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</si>
  <si>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</si>
  <si>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</si>
  <si>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</si>
  <si>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</si>
  <si>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</si>
  <si>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</si>
  <si>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</si>
  <si>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</si>
  <si>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</si>
  <si>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</si>
  <si>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</si>
  <si>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</si>
  <si>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</si>
  <si>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</si>
  <si>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</si>
  <si>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</si>
  <si>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</si>
  <si>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</si>
  <si>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</si>
  <si>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</si>
  <si>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</si>
  <si>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</si>
  <si>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</si>
  <si>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</si>
  <si>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</si>
  <si>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</si>
  <si>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</si>
  <si>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</si>
  <si>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</si>
  <si>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</si>
  <si>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</si>
  <si>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</si>
  <si>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</si>
  <si>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</si>
  <si>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</si>
  <si>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</si>
  <si>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</si>
  <si>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</si>
  <si>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</si>
  <si>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</si>
  <si>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</si>
  <si>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</si>
  <si>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</si>
  <si>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</si>
  <si>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</si>
  <si>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</si>
  <si>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</si>
  <si>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</si>
  <si>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</si>
  <si>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</si>
  <si>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</si>
  <si>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</si>
  <si>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</si>
  <si>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</si>
  <si>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</si>
  <si>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</si>
  <si>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</si>
  <si>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</si>
  <si>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</si>
  <si>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</si>
  <si>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</si>
  <si>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</si>
  <si>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</si>
  <si>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</si>
  <si>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</si>
  <si>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</si>
  <si>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</si>
  <si>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</si>
  <si>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</si>
  <si>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</si>
  <si>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</si>
  <si>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</si>
  <si>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</si>
  <si>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</si>
  <si>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</si>
  <si>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</si>
  <si>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</si>
  <si>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</si>
  <si>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</si>
  <si>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</si>
  <si>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</si>
  <si>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</si>
  <si>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</si>
  <si>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</si>
  <si>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</si>
  <si>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</si>
  <si>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</si>
  <si>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</si>
  <si>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</si>
  <si>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</si>
  <si>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</si>
  <si>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</si>
  <si>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</si>
  <si>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</si>
  <si>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</si>
  <si>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</si>
  <si>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</si>
  <si>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</si>
  <si>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</si>
  <si>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</si>
  <si>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</si>
  <si>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</si>
  <si>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</si>
  <si>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</si>
  <si>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</si>
  <si>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</si>
  <si>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</si>
  <si>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</si>
  <si>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</si>
  <si>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</si>
  <si>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</si>
  <si>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</si>
  <si>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</si>
  <si>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</si>
  <si>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</si>
  <si>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</si>
  <si>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</si>
  <si>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</si>
  <si>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</si>
  <si>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</si>
  <si>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</si>
  <si>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</si>
  <si>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</si>
  <si>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</si>
  <si>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</si>
  <si>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</si>
  <si>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</si>
  <si>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</si>
  <si>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</si>
  <si>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</si>
  <si>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</si>
  <si>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</si>
  <si>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</si>
  <si>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</si>
  <si>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</si>
  <si>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</si>
  <si>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</si>
  <si>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</si>
  <si>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</si>
  <si>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</si>
  <si>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</si>
  <si>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</si>
  <si>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</si>
  <si>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</si>
  <si>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</si>
  <si>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</si>
  <si>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</si>
  <si>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</si>
  <si>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</si>
  <si>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</si>
  <si>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</si>
  <si>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</si>
  <si>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</si>
  <si>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</si>
  <si>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</si>
  <si>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</si>
  <si>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</si>
  <si>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</si>
  <si>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</si>
  <si>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</si>
  <si>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</si>
  <si>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</si>
  <si>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</si>
  <si>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</si>
  <si>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</si>
  <si>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</si>
  <si>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</si>
  <si>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</si>
  <si>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</si>
  <si>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</si>
  <si>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</si>
  <si>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</si>
  <si>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</si>
  <si>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</si>
  <si>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</si>
  <si>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</si>
  <si>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</si>
  <si>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</si>
  <si>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</si>
  <si>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</si>
  <si>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</si>
  <si>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</si>
  <si>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</si>
  <si>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</si>
  <si>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</si>
  <si>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</si>
  <si>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</si>
  <si>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</si>
  <si>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</si>
  <si>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</si>
  <si>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</si>
  <si>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</si>
  <si>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</si>
  <si>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</si>
  <si>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</si>
  <si>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</si>
  <si>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</si>
  <si>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</si>
  <si>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</si>
  <si>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</si>
  <si>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</si>
  <si>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</si>
  <si>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</si>
  <si>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</si>
  <si>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</si>
  <si>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</si>
  <si>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</si>
  <si>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</si>
  <si>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</si>
  <si>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</si>
  <si>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</si>
  <si>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</si>
  <si>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</si>
  <si>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</si>
  <si>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</si>
  <si>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</si>
  <si>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</si>
  <si>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</si>
  <si>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</si>
  <si>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</si>
  <si>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</si>
  <si>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</si>
  <si>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</si>
  <si>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</si>
  <si>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</si>
  <si>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</si>
  <si>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</si>
  <si>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</si>
  <si>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</si>
  <si>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</si>
  <si>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</si>
  <si>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</si>
  <si>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</si>
  <si>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</si>
  <si>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</si>
  <si>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</si>
  <si>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</si>
  <si>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</si>
  <si>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</si>
  <si>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</si>
  <si>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</si>
  <si>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</si>
  <si>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</si>
  <si>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</si>
  <si>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</si>
  <si>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</si>
  <si>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</si>
  <si>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</si>
  <si>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</si>
  <si>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</si>
  <si>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</si>
  <si>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</si>
  <si>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</si>
  <si>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</si>
  <si>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</si>
  <si>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</si>
  <si>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</si>
  <si>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</si>
  <si>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</si>
  <si>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</si>
  <si>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</si>
  <si>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</si>
  <si>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</si>
  <si>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</si>
  <si>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</si>
  <si>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</si>
  <si>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</si>
  <si>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</si>
  <si>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</si>
  <si>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</si>
  <si>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</si>
  <si>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</si>
  <si>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</si>
  <si>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</si>
  <si>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</si>
  <si>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</si>
  <si>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</si>
  <si>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</si>
  <si>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</si>
  <si>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</si>
  <si>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</si>
  <si>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</si>
  <si>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</si>
  <si>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</si>
  <si>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</si>
  <si>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</si>
  <si>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</si>
  <si>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</si>
  <si>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</si>
  <si>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</si>
  <si>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</si>
  <si>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</si>
  <si>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</si>
  <si>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</si>
  <si>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</si>
  <si>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</si>
  <si>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</si>
  <si>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</si>
  <si>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</si>
  <si>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</si>
  <si>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</si>
  <si>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</si>
  <si>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</si>
  <si>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</si>
  <si>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</si>
  <si>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</si>
  <si>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</si>
  <si>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</si>
  <si>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</si>
  <si>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</si>
  <si>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</si>
  <si>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</si>
  <si>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</si>
  <si>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</si>
  <si>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</si>
  <si>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</si>
  <si>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</si>
  <si>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</si>
  <si>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</si>
  <si>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</si>
  <si>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</si>
  <si>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</si>
  <si>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</si>
  <si>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</si>
  <si>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</si>
  <si>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</si>
  <si>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</si>
  <si>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</si>
  <si>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</si>
  <si>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</si>
  <si>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</si>
  <si>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</si>
  <si>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</si>
  <si>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</si>
  <si>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</si>
  <si>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</si>
  <si>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</si>
  <si>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</si>
  <si>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</si>
  <si>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</si>
  <si>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</si>
  <si>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</si>
  <si>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</si>
  <si>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</si>
  <si>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</si>
  <si>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</si>
  <si>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</si>
  <si>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</si>
  <si>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</si>
  <si>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</si>
  <si>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</si>
  <si>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</si>
  <si>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</si>
  <si>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</si>
  <si>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</si>
  <si>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</si>
  <si>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</si>
  <si>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</si>
  <si>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</si>
  <si>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</si>
  <si>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</si>
  <si>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</si>
  <si>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</si>
  <si>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</si>
  <si>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</si>
  <si>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</si>
  <si>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</si>
  <si>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</si>
  <si>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</si>
  <si>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</si>
  <si>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</si>
  <si>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</si>
  <si>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</si>
  <si>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</si>
  <si>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</si>
  <si>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</si>
  <si>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</si>
  <si>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</si>
  <si>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</si>
  <si>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</si>
  <si>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</si>
  <si>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</si>
  <si>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</si>
  <si>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</si>
  <si>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</si>
  <si>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</si>
  <si>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</si>
  <si>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</si>
  <si>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</si>
  <si>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</si>
  <si>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</si>
  <si>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</si>
  <si>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</si>
  <si>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</si>
  <si>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</si>
  <si>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</si>
  <si>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</si>
  <si>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</si>
  <si>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</si>
  <si>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</si>
  <si>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</si>
  <si>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</si>
  <si>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</si>
  <si>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</si>
  <si>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</si>
  <si>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</si>
  <si>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</si>
  <si>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</si>
  <si>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</si>
  <si>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</si>
  <si>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</si>
  <si>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</si>
  <si>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</si>
  <si>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</si>
  <si>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</si>
  <si>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</si>
  <si>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</si>
  <si>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</si>
  <si>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</si>
  <si>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</si>
  <si>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</si>
  <si>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</si>
  <si>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</si>
  <si>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</si>
  <si>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</si>
  <si>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</si>
  <si>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</si>
  <si>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</si>
  <si>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</si>
  <si>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</si>
  <si>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</si>
  <si>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</si>
  <si>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</si>
  <si>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</si>
  <si>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</si>
  <si>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</si>
  <si>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</si>
  <si>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</si>
  <si>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</si>
  <si>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</si>
  <si>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</si>
  <si>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</si>
  <si>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</si>
  <si>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</si>
  <si>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</si>
  <si>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</si>
  <si>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</si>
  <si>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</si>
  <si>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</si>
  <si>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</si>
  <si>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</si>
  <si>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</si>
  <si>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</si>
  <si>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</si>
  <si>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</si>
  <si>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</si>
  <si>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</si>
  <si>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</si>
  <si>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</si>
  <si>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</si>
  <si>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</si>
  <si>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</si>
  <si>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</si>
  <si>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</si>
  <si>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</si>
  <si>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</si>
  <si>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</si>
  <si>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</si>
  <si>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</si>
  <si>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</si>
  <si>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</si>
  <si>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</si>
  <si>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</si>
  <si>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</si>
  <si>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</si>
  <si>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</si>
  <si>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</si>
  <si>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</si>
  <si>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</si>
  <si>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</si>
  <si>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</si>
  <si>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</si>
  <si>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</si>
  <si>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</si>
  <si>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</si>
  <si>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</si>
  <si>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</si>
  <si>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</si>
  <si>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</si>
  <si>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</si>
  <si>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</si>
  <si>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</si>
  <si>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</si>
  <si>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</si>
  <si>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</si>
  <si>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</si>
  <si>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</si>
  <si>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</si>
  <si>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</si>
  <si>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</si>
  <si>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</si>
  <si>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</si>
  <si>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</si>
  <si>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</si>
  <si>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</si>
  <si>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</si>
  <si>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</si>
  <si>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</si>
  <si>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</si>
  <si>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</si>
  <si>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</si>
  <si>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</si>
  <si>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</si>
  <si>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</si>
  <si>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</si>
  <si>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</si>
  <si>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</si>
  <si>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</si>
  <si>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</si>
  <si>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</si>
  <si>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</si>
  <si>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</si>
  <si>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</si>
  <si>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</si>
  <si>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</si>
  <si>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</si>
  <si>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</si>
  <si>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</si>
  <si>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</si>
  <si>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</si>
  <si>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</si>
  <si>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</si>
  <si>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</si>
  <si>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</si>
  <si>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</si>
  <si>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</si>
  <si>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</si>
  <si>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</si>
  <si>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</si>
  <si>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</si>
  <si>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</si>
  <si>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</si>
  <si>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</si>
  <si>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</si>
  <si>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</si>
  <si>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</si>
  <si>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</si>
  <si>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</si>
  <si>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</si>
  <si>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</si>
  <si>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</si>
  <si>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</si>
  <si>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</si>
  <si>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</si>
  <si>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</si>
  <si>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</si>
  <si>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</si>
  <si>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</si>
  <si>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</si>
  <si>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</si>
  <si>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</si>
  <si>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</si>
  <si>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</si>
  <si>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</si>
  <si>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</si>
  <si>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</si>
  <si>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</si>
  <si>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</si>
  <si>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</si>
  <si>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</si>
  <si>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</si>
  <si>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</si>
  <si>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</si>
  <si>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</si>
  <si>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</si>
  <si>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</si>
  <si>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</si>
  <si>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</si>
  <si>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</si>
  <si>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</si>
  <si>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</si>
  <si>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</si>
  <si>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</si>
  <si>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</si>
  <si>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</si>
  <si>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</si>
  <si>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</si>
  <si>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</si>
  <si>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</si>
  <si>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</si>
  <si>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</si>
  <si>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</si>
  <si>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</si>
  <si>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</si>
  <si>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</si>
  <si>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</si>
  <si>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</si>
  <si>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</si>
  <si>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</si>
  <si>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</si>
  <si>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</si>
  <si>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</si>
  <si>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</si>
  <si>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</si>
  <si>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</si>
  <si>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</si>
  <si>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</si>
  <si>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</si>
  <si>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</si>
  <si>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</si>
  <si>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</si>
  <si>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</si>
  <si>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</si>
  <si>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</si>
  <si>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</si>
  <si>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</si>
  <si>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</si>
  <si>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</si>
  <si>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</si>
  <si>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</si>
  <si>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</si>
  <si>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</si>
  <si>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</si>
  <si>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</si>
  <si>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</si>
  <si>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</si>
  <si>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</si>
  <si>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</si>
  <si>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</si>
  <si>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</si>
  <si>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</si>
  <si>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</si>
  <si>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</si>
  <si>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</si>
  <si>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</si>
  <si>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</si>
  <si>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</si>
  <si>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</si>
  <si>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</si>
  <si>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</si>
  <si>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</si>
  <si>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</si>
  <si>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</si>
  <si>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</si>
  <si>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</si>
  <si>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</si>
  <si>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</si>
  <si>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</si>
  <si>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</si>
  <si>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</si>
  <si>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</si>
  <si>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</si>
  <si>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</si>
  <si>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</si>
  <si>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</si>
  <si>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</si>
  <si>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</si>
  <si>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</si>
  <si>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</si>
  <si>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</si>
  <si>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</si>
  <si>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</si>
  <si>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</si>
  <si>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</si>
  <si>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</si>
  <si>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</si>
  <si>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</si>
  <si>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</si>
  <si>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</si>
  <si>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</si>
  <si>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</si>
  <si>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</si>
  <si>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</si>
  <si>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</si>
  <si>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</si>
  <si>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</si>
  <si>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</si>
  <si>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</si>
  <si>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</si>
  <si>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</si>
  <si>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</si>
  <si>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</si>
  <si>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</si>
  <si>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</si>
  <si>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</si>
  <si>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</si>
  <si>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</si>
  <si>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</si>
  <si>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</si>
  <si>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</si>
  <si>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</si>
  <si>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</si>
  <si>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</si>
  <si>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</si>
  <si>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</si>
  <si>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</si>
  <si>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</si>
  <si>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</si>
  <si>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</si>
  <si>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</si>
  <si>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</si>
  <si>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</si>
  <si>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</si>
  <si>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</si>
  <si>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</si>
  <si>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</si>
  <si>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</si>
  <si>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</si>
  <si>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</si>
  <si>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</si>
  <si>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</si>
  <si>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</si>
  <si>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</si>
  <si>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</si>
  <si>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</si>
  <si>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</si>
  <si>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</si>
  <si>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</si>
  <si>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</si>
  <si>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</si>
  <si>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</si>
  <si>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</si>
  <si>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</si>
  <si>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</si>
  <si>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</si>
  <si>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</si>
  <si>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</si>
  <si>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</si>
  <si>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</si>
  <si>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</si>
  <si>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</si>
  <si>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</si>
  <si>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</si>
  <si>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</si>
  <si>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</si>
  <si>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</si>
  <si>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</si>
  <si>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</si>
  <si>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</si>
  <si>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</si>
  <si>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</si>
  <si>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</si>
  <si>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</si>
  <si>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</si>
  <si>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</si>
  <si>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</si>
  <si>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</si>
  <si>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</si>
  <si>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</si>
  <si>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</si>
  <si>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</si>
  <si>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</si>
  <si>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</si>
  <si>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</si>
  <si>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</si>
  <si>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</si>
  <si>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</si>
  <si>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</si>
  <si>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</si>
  <si>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</si>
  <si>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</si>
  <si>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</si>
  <si>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</si>
  <si>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</si>
  <si>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</si>
  <si>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</si>
  <si>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</si>
  <si>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</si>
  <si>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</si>
  <si>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</si>
  <si>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</si>
  <si>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</si>
  <si>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</si>
  <si>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</si>
  <si>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</si>
  <si>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</si>
  <si>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</si>
  <si>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</si>
  <si>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</si>
  <si>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</si>
  <si>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</si>
  <si>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</si>
  <si>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</si>
  <si>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</si>
  <si>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</si>
  <si>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</si>
  <si>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</si>
  <si>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</si>
  <si>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</si>
  <si>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</si>
  <si>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</si>
  <si>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</si>
  <si>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</si>
  <si>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</si>
  <si>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</si>
  <si>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</si>
  <si>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</si>
  <si>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</si>
  <si>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</si>
  <si>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</si>
  <si>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</si>
  <si>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</si>
  <si>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</si>
  <si>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</si>
  <si>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</si>
  <si>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</si>
  <si>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</si>
  <si>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</si>
  <si>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</si>
  <si>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</si>
  <si>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</si>
  <si>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</si>
  <si>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</si>
  <si>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</si>
  <si>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</si>
  <si>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</si>
  <si>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</si>
  <si>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</si>
  <si>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</si>
  <si>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</si>
  <si>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</si>
  <si>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</si>
  <si>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</si>
  <si>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</si>
  <si>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</si>
  <si>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</si>
  <si>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</si>
  <si>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</si>
  <si>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</si>
  <si>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</si>
  <si>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</si>
  <si>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</si>
  <si>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</si>
  <si>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</si>
  <si>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</si>
  <si>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</si>
  <si>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</si>
  <si>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</si>
  <si>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</si>
  <si>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</si>
  <si>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</si>
  <si>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</si>
  <si>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</si>
  <si>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</si>
  <si>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</si>
  <si>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</si>
  <si>
    <t>We experienced staff changes and shortages, requiring hiring and training.  We are working on hiring and training new staff to recover from these shortages.  We have also been working overtime to try to achieve time standards.</t>
  </si>
  <si>
    <t>We experienced staff changes and shortages, requiring hiring and training.  We are working on hiring and training new staff to recover from these shortages.  We have also been working overtime.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</si>
</sst>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46" fillId="0" borderId="0" xfId="0" applyFont="1" applyAlignment="1">
      <alignment horizontal="left" vertical="top"/>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14" xfId="0" applyFont="1" applyBorder="1" applyAlignment="1">
      <alignment horizontal="right" vertical="center"/>
    </xf>
    <xf numFmtId="0" fontId="25" fillId="0" borderId="12" xfId="0" applyFont="1" applyBorder="1" applyAlignment="1">
      <alignment horizontal="right" vertical="center"/>
    </xf>
    <xf numFmtId="0" fontId="34" fillId="5" borderId="16" xfId="0" applyFont="1" applyFill="1" applyBorder="1" applyAlignment="1">
      <alignment horizontal="center" vertical="center" wrapText="1"/>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33" fillId="0" borderId="0" xfId="0" applyFont="1" applyAlignment="1">
      <alignment horizontal="right"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59" fillId="34" borderId="200"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0" borderId="200" xfId="55" applyFont="1" applyFill="1" applyBorder="1" applyAlignment="1">
      <alignment horizontal="left"/>
    </xf>
    <xf numFmtId="0" fontId="60" fillId="35"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2" borderId="202" xfId="55" applyFont="1" applyFill="1" applyBorder="1"/>
    <xf numFmtId="0" fontId="59" fillId="12" borderId="198" xfId="55" applyFont="1" applyFill="1" applyBorder="1"/>
    <xf numFmtId="0" fontId="59" fillId="12"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xf numFmtId="0" fontId="2" fillId="26" borderId="168" xfId="55" applyFill="1" applyBorder="1" applyAlignment="1">
      <alignment horizontal="center"/>
    </xf>
    <xf numFmtId="0" fontId="2" fillId="26" borderId="169" xfId="55"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H4" sqref="H4:I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6" t="s">
        <v>406</v>
      </c>
      <c r="B1" s="476"/>
      <c r="C1" s="476"/>
      <c r="D1" s="476"/>
      <c r="E1" s="476"/>
    </row>
    <row r="2" spans="1:18" ht="24" customHeight="1" x14ac:dyDescent="0.2">
      <c r="A2" s="476" t="str">
        <f>"County Fiscal Year "&amp;ReportInfo!N2&amp;"-"&amp;(ReportInfo!N2+1)</f>
        <v>County Fiscal Year 2024-2025</v>
      </c>
      <c r="B2" s="476"/>
      <c r="C2" s="476"/>
    </row>
    <row r="3" spans="1:18" ht="24" customHeight="1" x14ac:dyDescent="0.2">
      <c r="N3"/>
      <c r="O3"/>
    </row>
    <row r="4" spans="1:18" ht="24" customHeight="1" x14ac:dyDescent="0.2">
      <c r="A4" s="6"/>
      <c r="C4" s="21" t="s">
        <v>2</v>
      </c>
      <c r="D4" s="478" t="s">
        <v>10</v>
      </c>
      <c r="E4" s="478"/>
      <c r="F4" s="6"/>
      <c r="G4" s="21" t="s">
        <v>226</v>
      </c>
      <c r="H4" s="477" t="s">
        <v>79</v>
      </c>
      <c r="I4" s="477"/>
      <c r="K4" s="21" t="s">
        <v>3</v>
      </c>
      <c r="L4" s="164">
        <v>1</v>
      </c>
      <c r="N4"/>
      <c r="O4"/>
      <c r="Q4" s="484" t="s">
        <v>1909</v>
      </c>
      <c r="R4" s="484"/>
    </row>
    <row r="5" spans="1:18" ht="24" customHeight="1" x14ac:dyDescent="0.3">
      <c r="A5" s="6"/>
      <c r="C5" s="21" t="s">
        <v>73</v>
      </c>
      <c r="D5" s="479" t="s">
        <v>1910</v>
      </c>
      <c r="E5" s="479"/>
      <c r="F5" s="6"/>
      <c r="N5" s="7"/>
      <c r="Q5" s="484"/>
      <c r="R5" s="484"/>
    </row>
    <row r="6" spans="1:18" ht="24" customHeight="1" x14ac:dyDescent="0.3">
      <c r="A6" s="6"/>
      <c r="C6" s="21" t="s">
        <v>84</v>
      </c>
      <c r="D6" s="478" t="s">
        <v>1911</v>
      </c>
      <c r="E6" s="478"/>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0" t="s">
        <v>376</v>
      </c>
      <c r="F9" s="481"/>
      <c r="G9" s="481"/>
      <c r="H9" s="481"/>
      <c r="I9" s="481"/>
      <c r="J9" s="481"/>
      <c r="K9" s="481"/>
      <c r="L9" s="481"/>
      <c r="M9" s="481"/>
      <c r="N9" s="481"/>
      <c r="O9" s="481"/>
      <c r="P9" s="482"/>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4" t="s">
        <v>401</v>
      </c>
      <c r="D11" s="475"/>
      <c r="E11" s="127">
        <v>500</v>
      </c>
      <c r="F11" s="128">
        <v>528</v>
      </c>
      <c r="G11" s="128">
        <v>473</v>
      </c>
      <c r="H11" s="128">
        <v>528</v>
      </c>
      <c r="I11" s="128">
        <f>IF('Subcases Monthly'!$D$4="","",VLOOKUP('Subcases Monthly'!$D$4,DataLookUp!$A$4:$AVY$70,6,FALSE))</f>
        <v>0</v>
      </c>
      <c r="J11" s="128">
        <f>IF('Subcases Monthly'!$D$4="","",VLOOKUP('Subcases Monthly'!$D$4,DataLookUp!$A$4:$AVY$70,7,FALSE))</f>
        <v>0</v>
      </c>
      <c r="K11" s="128">
        <f>IF('Subcases Monthly'!$D$4="","",VLOOKUP('Subcases Monthly'!$D$4,DataLookUp!$A$4:$AVY$70,8,FALSE))</f>
        <v>0</v>
      </c>
      <c r="L11" s="128">
        <f>IF('Subcases Monthly'!$D$4="","",VLOOKUP('Subcases Monthly'!$D$4,DataLookUp!$A$4:$AVY$70,9,FALSE))</f>
        <v>0</v>
      </c>
      <c r="M11" s="128">
        <f>IF('Subcases Monthly'!$D$4="","",VLOOKUP('Subcases Monthly'!$D$4,DataLookUp!$A$4:$AVY$70,10,FALSE))</f>
        <v>0</v>
      </c>
      <c r="N11" s="128">
        <f>IF('Subcases Monthly'!$D$4="","",VLOOKUP('Subcases Monthly'!$D$4,DataLookUp!$A$4:$AVY$70,11,FALSE))</f>
        <v>0</v>
      </c>
      <c r="O11" s="128">
        <f>IF('Subcases Monthly'!$D$4="","",VLOOKUP('Subcases Monthly'!$D$4,DataLookUp!$A$4:$AVY$70,12,FALSE))</f>
        <v>0</v>
      </c>
      <c r="P11" s="162">
        <f>IF('Subcases Monthly'!$D$4="","",VLOOKUP('Subcases Monthly'!$D$4,DataLookUp!$A$4:$AVY$70,13,FALSE))</f>
        <v>0</v>
      </c>
      <c r="Q11" s="218">
        <f t="shared" ref="Q11:Q14" si="1">SUM(E11:P11)</f>
        <v>2029</v>
      </c>
      <c r="R11" s="492">
        <f>IF('Subcases Monthly'!$D$4="","",VLOOKUP('Subcases Monthly'!$D$4,DataLookUp!$A$4:$AVY$70,1264,FALSE))</f>
        <v>0</v>
      </c>
    </row>
    <row r="12" spans="1:18" ht="20.100000000000001" customHeight="1" x14ac:dyDescent="0.2">
      <c r="B12" s="197">
        <v>2</v>
      </c>
      <c r="C12" s="461" t="s">
        <v>404</v>
      </c>
      <c r="D12" s="462"/>
      <c r="E12" s="130">
        <v>0</v>
      </c>
      <c r="F12" s="131">
        <v>0</v>
      </c>
      <c r="G12" s="131">
        <v>0</v>
      </c>
      <c r="H12" s="131">
        <v>0</v>
      </c>
      <c r="I12" s="131">
        <f>IF('Subcases Monthly'!$D$4="","",VLOOKUP('Subcases Monthly'!$D$4,DataLookUp!$A$4:$AVY$70,19,FALSE))</f>
        <v>0</v>
      </c>
      <c r="J12" s="131">
        <f>IF('Subcases Monthly'!$D$4="","",VLOOKUP('Subcases Monthly'!$D$4,DataLookUp!$A$4:$AVY$70,20,FALSE))</f>
        <v>0</v>
      </c>
      <c r="K12" s="131">
        <f>IF('Subcases Monthly'!$D$4="","",VLOOKUP('Subcases Monthly'!$D$4,DataLookUp!$A$4:$AVY$70,21,FALSE))</f>
        <v>0</v>
      </c>
      <c r="L12" s="131">
        <f>IF('Subcases Monthly'!$D$4="","",VLOOKUP('Subcases Monthly'!$D$4,DataLookUp!$A$4:$AVY$70,22,FALSE))</f>
        <v>0</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3">
        <f>IF('Subcases Monthly'!$D$4="","",VLOOKUP('Subcases Monthly'!$D$4,DataLookUp!$A$4:$AVY$70,26,FALSE))</f>
        <v>0</v>
      </c>
      <c r="Q12" s="218">
        <f t="shared" si="1"/>
        <v>0</v>
      </c>
      <c r="R12" s="492"/>
    </row>
    <row r="13" spans="1:18" ht="20.100000000000001" customHeight="1" x14ac:dyDescent="0.2">
      <c r="B13" s="197">
        <v>2</v>
      </c>
      <c r="C13" s="461" t="s">
        <v>389</v>
      </c>
      <c r="D13" s="462"/>
      <c r="E13" s="127">
        <v>25</v>
      </c>
      <c r="F13" s="128">
        <v>21</v>
      </c>
      <c r="G13" s="128">
        <v>30</v>
      </c>
      <c r="H13" s="128">
        <v>22</v>
      </c>
      <c r="I13" s="128">
        <f>IF('Subcases Monthly'!$D$4="","",VLOOKUP('Subcases Monthly'!$D$4,DataLookUp!$A$4:$AVY$70,32,FALSE))</f>
        <v>0</v>
      </c>
      <c r="J13" s="128">
        <f>IF('Subcases Monthly'!$D$4="","",VLOOKUP('Subcases Monthly'!$D$4,DataLookUp!$A$4:$AVY$70,33,FALSE))</f>
        <v>0</v>
      </c>
      <c r="K13" s="128">
        <f>IF('Subcases Monthly'!$D$4="","",VLOOKUP('Subcases Monthly'!$D$4,DataLookUp!$A$4:$AVY$70,34,FALSE))</f>
        <v>0</v>
      </c>
      <c r="L13" s="128">
        <f>IF('Subcases Monthly'!$D$4="","",VLOOKUP('Subcases Monthly'!$D$4,DataLookUp!$A$4:$AVY$70,35,FALSE))</f>
        <v>0</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2">
        <f>IF('Subcases Monthly'!$D$4="","",VLOOKUP('Subcases Monthly'!$D$4,DataLookUp!$A$4:$AVY$70,39,FALSE))</f>
        <v>0</v>
      </c>
      <c r="Q13" s="218">
        <f t="shared" si="1"/>
        <v>98</v>
      </c>
      <c r="R13" s="492"/>
    </row>
    <row r="14" spans="1:18" ht="20.100000000000001" customHeight="1" thickBot="1" x14ac:dyDescent="0.25">
      <c r="B14" s="197">
        <v>1</v>
      </c>
      <c r="C14" s="469" t="s">
        <v>157</v>
      </c>
      <c r="D14" s="470"/>
      <c r="E14" s="220">
        <f>IF('Subcases Monthly'!$D$4="","",VLOOKUP('Subcases Monthly'!$D$4,DataLookUp!$A$4:$AVY$70,41,FALSE))</f>
        <v>0</v>
      </c>
      <c r="F14" s="221">
        <v>0</v>
      </c>
      <c r="G14" s="221">
        <f>IF('Subcases Monthly'!$D$4="","",VLOOKUP('Subcases Monthly'!$D$4,DataLookUp!$A$4:$AVY$70,43,FALSE))</f>
        <v>0</v>
      </c>
      <c r="H14" s="221">
        <v>0</v>
      </c>
      <c r="I14" s="221">
        <f>IF('Subcases Monthly'!$D$4="","",VLOOKUP('Subcases Monthly'!$D$4,DataLookUp!$A$4:$AVY$70,45,FALSE))</f>
        <v>0</v>
      </c>
      <c r="J14" s="221">
        <f>IF('Subcases Monthly'!$D$4="","",VLOOKUP('Subcases Monthly'!$D$4,DataLookUp!$A$4:$AVY$70,46,FALSE))</f>
        <v>0</v>
      </c>
      <c r="K14" s="221">
        <f>IF('Subcases Monthly'!$D$4="","",VLOOKUP('Subcases Monthly'!$D$4,DataLookUp!$A$4:$AVY$70,47,FALSE))</f>
        <v>0</v>
      </c>
      <c r="L14" s="221">
        <f>IF('Subcases Monthly'!$D$4="","",VLOOKUP('Subcases Monthly'!$D$4,DataLookUp!$A$4:$AVY$70,48,FALSE))</f>
        <v>0</v>
      </c>
      <c r="M14" s="221">
        <f>IF('Subcases Monthly'!$D$4="","",VLOOKUP('Subcases Monthly'!$D$4,DataLookUp!$A$4:$AVY$70,49,FALSE))</f>
        <v>0</v>
      </c>
      <c r="N14" s="221">
        <f>IF('Subcases Monthly'!$D$4="","",VLOOKUP('Subcases Monthly'!$D$4,DataLookUp!$A$4:$AVY$70,50,FALSE))</f>
        <v>0</v>
      </c>
      <c r="O14" s="221">
        <f>IF('Subcases Monthly'!$D$4="","",VLOOKUP('Subcases Monthly'!$D$4,DataLookUp!$A$4:$AVY$70,51,FALSE))</f>
        <v>0</v>
      </c>
      <c r="P14" s="217">
        <f>IF('Subcases Monthly'!$D$4="","",VLOOKUP('Subcases Monthly'!$D$4,DataLookUp!$A$4:$AVY$70,52,FALSE))</f>
        <v>0</v>
      </c>
      <c r="Q14" s="219">
        <f t="shared" si="1"/>
        <v>0</v>
      </c>
      <c r="R14" s="493"/>
    </row>
    <row r="15" spans="1:18" s="13" customFormat="1" ht="20.100000000000001" customHeight="1" thickTop="1" thickBot="1" x14ac:dyDescent="0.25">
      <c r="B15" s="196"/>
      <c r="C15" s="471" t="s">
        <v>158</v>
      </c>
      <c r="D15" s="472"/>
      <c r="E15" s="211">
        <f t="shared" ref="E15:P15" si="2">SUM(E11:E14)</f>
        <v>525</v>
      </c>
      <c r="F15" s="212">
        <f t="shared" si="2"/>
        <v>549</v>
      </c>
      <c r="G15" s="212">
        <f t="shared" si="2"/>
        <v>503</v>
      </c>
      <c r="H15" s="212">
        <f t="shared" si="2"/>
        <v>550</v>
      </c>
      <c r="I15" s="212">
        <f t="shared" si="2"/>
        <v>0</v>
      </c>
      <c r="J15" s="212">
        <f t="shared" si="2"/>
        <v>0</v>
      </c>
      <c r="K15" s="212">
        <f t="shared" si="2"/>
        <v>0</v>
      </c>
      <c r="L15" s="212">
        <f t="shared" si="2"/>
        <v>0</v>
      </c>
      <c r="M15" s="212">
        <f t="shared" si="2"/>
        <v>0</v>
      </c>
      <c r="N15" s="212">
        <f t="shared" si="2"/>
        <v>0</v>
      </c>
      <c r="O15" s="212">
        <f t="shared" si="2"/>
        <v>0</v>
      </c>
      <c r="P15" s="213">
        <f t="shared" si="2"/>
        <v>0</v>
      </c>
      <c r="Q15" s="247">
        <f>SUM(E15:P15)</f>
        <v>2127</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4" t="s">
        <v>159</v>
      </c>
      <c r="D18" s="475"/>
      <c r="E18" s="130">
        <v>369</v>
      </c>
      <c r="F18" s="131">
        <v>408</v>
      </c>
      <c r="G18" s="131">
        <v>440</v>
      </c>
      <c r="H18" s="131">
        <v>347</v>
      </c>
      <c r="I18" s="131">
        <f>IF('Subcases Monthly'!$D$4="","",VLOOKUP('Subcases Monthly'!$D$4,DataLookUp!$A$4:$AVY$70,71,FALSE))</f>
        <v>0</v>
      </c>
      <c r="J18" s="131">
        <f>IF('Subcases Monthly'!$D$4="","",VLOOKUP('Subcases Monthly'!$D$4,DataLookUp!$A$4:$AVY$70,72,FALSE))</f>
        <v>0</v>
      </c>
      <c r="K18" s="131">
        <f>IF('Subcases Monthly'!$D$4="","",VLOOKUP('Subcases Monthly'!$D$4,DataLookUp!$A$4:$AVY$70,73,FALSE))</f>
        <v>0</v>
      </c>
      <c r="L18" s="131">
        <f>IF('Subcases Monthly'!$D$4="","",VLOOKUP('Subcases Monthly'!$D$4,DataLookUp!$A$4:$AVY$70,74,FALSE))</f>
        <v>0</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3">
        <f>IF('Subcases Monthly'!$D$4="","",VLOOKUP('Subcases Monthly'!$D$4,DataLookUp!$A$4:$AVY$70,78,FALSE))</f>
        <v>0</v>
      </c>
      <c r="Q18" s="218">
        <f t="shared" ref="Q18:Q23" si="4">SUM(E18:P18)</f>
        <v>1564</v>
      </c>
      <c r="R18" s="491">
        <f>IF('Subcases Monthly'!$D$4="","",VLOOKUP('Subcases Monthly'!$D$4,DataLookUp!$A$4:$AVY$70,1265,FALSE))</f>
        <v>0</v>
      </c>
    </row>
    <row r="19" spans="1:18" ht="20.100000000000001" customHeight="1" x14ac:dyDescent="0.2">
      <c r="B19" s="190"/>
      <c r="C19" s="461" t="s">
        <v>160</v>
      </c>
      <c r="D19" s="462"/>
      <c r="E19" s="127">
        <v>4</v>
      </c>
      <c r="F19" s="128">
        <v>5</v>
      </c>
      <c r="G19" s="128">
        <v>10</v>
      </c>
      <c r="H19" s="128">
        <v>24</v>
      </c>
      <c r="I19" s="128">
        <f>IF('Subcases Monthly'!$D$4="","",VLOOKUP('Subcases Monthly'!$D$4,DataLookUp!$A$4:$AVY$70,84,FALSE))</f>
        <v>0</v>
      </c>
      <c r="J19" s="128">
        <f>IF('Subcases Monthly'!$D$4="","",VLOOKUP('Subcases Monthly'!$D$4,DataLookUp!$A$4:$AVY$70,85,FALSE))</f>
        <v>0</v>
      </c>
      <c r="K19" s="128">
        <f>IF('Subcases Monthly'!$D$4="","",VLOOKUP('Subcases Monthly'!$D$4,DataLookUp!$A$4:$AVY$70,86,FALSE))</f>
        <v>0</v>
      </c>
      <c r="L19" s="128">
        <f>IF('Subcases Monthly'!$D$4="","",VLOOKUP('Subcases Monthly'!$D$4,DataLookUp!$A$4:$AVY$70,87,FALSE))</f>
        <v>0</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2">
        <f>IF('Subcases Monthly'!$D$4="","",VLOOKUP('Subcases Monthly'!$D$4,DataLookUp!$A$4:$AVY$70,91,FALSE))</f>
        <v>0</v>
      </c>
      <c r="Q19" s="218">
        <f t="shared" si="4"/>
        <v>43</v>
      </c>
      <c r="R19" s="492"/>
    </row>
    <row r="20" spans="1:18" ht="20.100000000000001" customHeight="1" x14ac:dyDescent="0.2">
      <c r="B20" s="190"/>
      <c r="C20" s="461" t="s">
        <v>161</v>
      </c>
      <c r="D20" s="462"/>
      <c r="E20" s="130">
        <v>112</v>
      </c>
      <c r="F20" s="131">
        <v>152</v>
      </c>
      <c r="G20" s="131">
        <v>134</v>
      </c>
      <c r="H20" s="131">
        <v>137</v>
      </c>
      <c r="I20" s="131">
        <f>IF('Subcases Monthly'!$D$4="","",VLOOKUP('Subcases Monthly'!$D$4,DataLookUp!$A$4:$AVY$70,97,FALSE))</f>
        <v>0</v>
      </c>
      <c r="J20" s="131">
        <f>IF('Subcases Monthly'!$D$4="","",VLOOKUP('Subcases Monthly'!$D$4,DataLookUp!$A$4:$AVY$70,98,FALSE))</f>
        <v>0</v>
      </c>
      <c r="K20" s="131">
        <f>IF('Subcases Monthly'!$D$4="","",VLOOKUP('Subcases Monthly'!$D$4,DataLookUp!$A$4:$AVY$70,99,FALSE))</f>
        <v>0</v>
      </c>
      <c r="L20" s="131">
        <f>IF('Subcases Monthly'!$D$4="","",VLOOKUP('Subcases Monthly'!$D$4,DataLookUp!$A$4:$AVY$70,100,FALSE))</f>
        <v>0</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3">
        <f>IF('Subcases Monthly'!$D$4="","",VLOOKUP('Subcases Monthly'!$D$4,DataLookUp!$A$4:$AVY$70,104,FALSE))</f>
        <v>0</v>
      </c>
      <c r="Q20" s="218">
        <f t="shared" si="4"/>
        <v>535</v>
      </c>
      <c r="R20" s="492"/>
    </row>
    <row r="21" spans="1:18" ht="20.100000000000001" customHeight="1" x14ac:dyDescent="0.2">
      <c r="B21" s="197">
        <v>2</v>
      </c>
      <c r="C21" s="461" t="s">
        <v>389</v>
      </c>
      <c r="D21" s="462"/>
      <c r="E21" s="127">
        <f>IF('Subcases Monthly'!$D$4="","",VLOOKUP('Subcases Monthly'!$D$4,DataLookUp!$A$4:$AVY$70,106,FALSE))</f>
        <v>0</v>
      </c>
      <c r="F21" s="128">
        <v>0</v>
      </c>
      <c r="G21" s="128">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92"/>
    </row>
    <row r="22" spans="1:18" ht="20.100000000000001" customHeight="1" thickBot="1" x14ac:dyDescent="0.25">
      <c r="B22" s="197">
        <v>1</v>
      </c>
      <c r="C22" s="469" t="s">
        <v>157</v>
      </c>
      <c r="D22" s="470"/>
      <c r="E22" s="220">
        <f>IF('Subcases Monthly'!$D$4="","",VLOOKUP('Subcases Monthly'!$D$4,DataLookUp!$A$4:$AVY$70,119,FALSE))</f>
        <v>0</v>
      </c>
      <c r="F22" s="221">
        <v>1</v>
      </c>
      <c r="G22" s="221">
        <v>1</v>
      </c>
      <c r="H22" s="221">
        <f>IF('Subcases Monthly'!$D$4="","",VLOOKUP('Subcases Monthly'!$D$4,DataLookUp!$A$4:$AVY$70,122,FALSE))</f>
        <v>0</v>
      </c>
      <c r="I22" s="221">
        <f>IF('Subcases Monthly'!$D$4="","",VLOOKUP('Subcases Monthly'!$D$4,DataLookUp!$A$4:$AVY$70,123,FALSE))</f>
        <v>0</v>
      </c>
      <c r="J22" s="221">
        <f>IF('Subcases Monthly'!$D$4="","",VLOOKUP('Subcases Monthly'!$D$4,DataLookUp!$A$4:$AVY$70,124,FALSE))</f>
        <v>0</v>
      </c>
      <c r="K22" s="221">
        <f>IF('Subcases Monthly'!$D$4="","",VLOOKUP('Subcases Monthly'!$D$4,DataLookUp!$A$4:$AVY$70,125,FALSE))</f>
        <v>0</v>
      </c>
      <c r="L22" s="221">
        <f>IF('Subcases Monthly'!$D$4="","",VLOOKUP('Subcases Monthly'!$D$4,DataLookUp!$A$4:$AVY$70,126,FALSE))</f>
        <v>0</v>
      </c>
      <c r="M22" s="221">
        <f>IF('Subcases Monthly'!$D$4="","",VLOOKUP('Subcases Monthly'!$D$4,DataLookUp!$A$4:$AVY$70,127,FALSE))</f>
        <v>0</v>
      </c>
      <c r="N22" s="221">
        <f>IF('Subcases Monthly'!$D$4="","",VLOOKUP('Subcases Monthly'!$D$4,DataLookUp!$A$4:$AVY$70,128,FALSE))</f>
        <v>0</v>
      </c>
      <c r="O22" s="221">
        <f>IF('Subcases Monthly'!$D$4="","",VLOOKUP('Subcases Monthly'!$D$4,DataLookUp!$A$4:$AVY$70,129,FALSE))</f>
        <v>0</v>
      </c>
      <c r="P22" s="217">
        <f>IF('Subcases Monthly'!$D$4="","",VLOOKUP('Subcases Monthly'!$D$4,DataLookUp!$A$4:$AVY$70,130,FALSE))</f>
        <v>0</v>
      </c>
      <c r="Q22" s="219">
        <f t="shared" si="4"/>
        <v>2</v>
      </c>
      <c r="R22" s="493"/>
    </row>
    <row r="23" spans="1:18" s="13" customFormat="1" ht="20.100000000000001" customHeight="1" thickTop="1" thickBot="1" x14ac:dyDescent="0.25">
      <c r="B23" s="192"/>
      <c r="C23" s="471" t="s">
        <v>162</v>
      </c>
      <c r="D23" s="472"/>
      <c r="E23" s="211">
        <f t="shared" ref="E23:P23" si="5">SUM(E18:E22)</f>
        <v>485</v>
      </c>
      <c r="F23" s="212">
        <f t="shared" si="5"/>
        <v>566</v>
      </c>
      <c r="G23" s="212">
        <f t="shared" si="5"/>
        <v>585</v>
      </c>
      <c r="H23" s="212">
        <f t="shared" si="5"/>
        <v>508</v>
      </c>
      <c r="I23" s="212">
        <f t="shared" si="5"/>
        <v>0</v>
      </c>
      <c r="J23" s="212">
        <f t="shared" si="5"/>
        <v>0</v>
      </c>
      <c r="K23" s="212">
        <f t="shared" si="5"/>
        <v>0</v>
      </c>
      <c r="L23" s="212">
        <f t="shared" si="5"/>
        <v>0</v>
      </c>
      <c r="M23" s="212">
        <f t="shared" si="5"/>
        <v>0</v>
      </c>
      <c r="N23" s="212">
        <f t="shared" si="5"/>
        <v>0</v>
      </c>
      <c r="O23" s="212">
        <f t="shared" si="5"/>
        <v>0</v>
      </c>
      <c r="P23" s="213">
        <f t="shared" si="5"/>
        <v>0</v>
      </c>
      <c r="Q23" s="247">
        <f t="shared" si="4"/>
        <v>2144</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4" t="s">
        <v>163</v>
      </c>
      <c r="D26" s="475"/>
      <c r="E26" s="130">
        <v>96</v>
      </c>
      <c r="F26" s="131">
        <v>95</v>
      </c>
      <c r="G26" s="131">
        <v>76</v>
      </c>
      <c r="H26" s="131">
        <v>70</v>
      </c>
      <c r="I26" s="131">
        <f>IF('Subcases Monthly'!$D$4="","",VLOOKUP('Subcases Monthly'!$D$4,DataLookUp!$A$4:$AVY$70,149,FALSE))</f>
        <v>0</v>
      </c>
      <c r="J26" s="131">
        <f>IF('Subcases Monthly'!$D$4="","",VLOOKUP('Subcases Monthly'!$D$4,DataLookUp!$A$4:$AVY$70,150,FALSE))</f>
        <v>0</v>
      </c>
      <c r="K26" s="131">
        <f>IF('Subcases Monthly'!$D$4="","",VLOOKUP('Subcases Monthly'!$D$4,DataLookUp!$A$4:$AVY$70,151,FALSE))</f>
        <v>0</v>
      </c>
      <c r="L26" s="131">
        <f>IF('Subcases Monthly'!$D$4="","",VLOOKUP('Subcases Monthly'!$D$4,DataLookUp!$A$4:$AVY$70,152,FALSE))</f>
        <v>0</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3">
        <f>IF('Subcases Monthly'!$D$4="","",VLOOKUP('Subcases Monthly'!$D$4,DataLookUp!$A$4:$AVY$70,156,FALSE))</f>
        <v>0</v>
      </c>
      <c r="Q26" s="218">
        <f t="shared" ref="Q26:Q30" si="16">SUM(E26:P26)</f>
        <v>337</v>
      </c>
      <c r="R26" s="485">
        <f>IF('Subcases Monthly'!$D$4="","",VLOOKUP('Subcases Monthly'!$D$4,DataLookUp!$A$4:$AVY$70,1266,FALSE))</f>
        <v>0</v>
      </c>
    </row>
    <row r="27" spans="1:18" ht="20.100000000000001" customHeight="1" x14ac:dyDescent="0.2">
      <c r="B27" s="197">
        <v>2</v>
      </c>
      <c r="C27" s="461" t="s">
        <v>390</v>
      </c>
      <c r="D27" s="462"/>
      <c r="E27" s="127">
        <v>0</v>
      </c>
      <c r="F27" s="128">
        <v>0</v>
      </c>
      <c r="G27" s="128">
        <v>2</v>
      </c>
      <c r="H27" s="128">
        <f>IF('Subcases Monthly'!$D$4="","",VLOOKUP('Subcases Monthly'!$D$4,DataLookUp!$A$4:$AVY$70,161,FALSE))</f>
        <v>0</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f>IF('Subcases Monthly'!$D$4="","",VLOOKUP('Subcases Monthly'!$D$4,DataLookUp!$A$4:$AVY$70,165,FALSE))</f>
        <v>0</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2</v>
      </c>
      <c r="R27" s="486"/>
    </row>
    <row r="28" spans="1:18" ht="20.100000000000001" customHeight="1" x14ac:dyDescent="0.2">
      <c r="B28" s="190"/>
      <c r="C28" s="461" t="s">
        <v>164</v>
      </c>
      <c r="D28" s="462"/>
      <c r="E28" s="130">
        <v>1</v>
      </c>
      <c r="F28" s="131">
        <v>0</v>
      </c>
      <c r="G28" s="131">
        <v>1</v>
      </c>
      <c r="H28" s="131">
        <v>1</v>
      </c>
      <c r="I28" s="131">
        <f>IF('Subcases Monthly'!$D$4="","",VLOOKUP('Subcases Monthly'!$D$4,DataLookUp!$A$4:$AVY$70,175,FALSE))</f>
        <v>0</v>
      </c>
      <c r="J28" s="131">
        <f>IF('Subcases Monthly'!$D$4="","",VLOOKUP('Subcases Monthly'!$D$4,DataLookUp!$A$4:$AVY$70,176,FALSE))</f>
        <v>0</v>
      </c>
      <c r="K28" s="131">
        <f>IF('Subcases Monthly'!$D$4="","",VLOOKUP('Subcases Monthly'!$D$4,DataLookUp!$A$4:$AVY$70,177,FALSE))</f>
        <v>0</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3">
        <f>IF('Subcases Monthly'!$D$4="","",VLOOKUP('Subcases Monthly'!$D$4,DataLookUp!$A$4:$AVY$70,182,FALSE))</f>
        <v>0</v>
      </c>
      <c r="Q28" s="218">
        <f t="shared" si="16"/>
        <v>3</v>
      </c>
      <c r="R28" s="486"/>
    </row>
    <row r="29" spans="1:18" ht="20.100000000000001" customHeight="1" thickBot="1" x14ac:dyDescent="0.25">
      <c r="B29" s="197">
        <v>1</v>
      </c>
      <c r="C29" s="469" t="s">
        <v>157</v>
      </c>
      <c r="D29" s="470"/>
      <c r="E29" s="215">
        <f>IF('Subcases Monthly'!$D$4="","",VLOOKUP('Subcases Monthly'!$D$4,DataLookUp!$A$4:$AVY$70,184,FALSE))</f>
        <v>0</v>
      </c>
      <c r="F29" s="216">
        <v>0</v>
      </c>
      <c r="G29" s="216">
        <v>0</v>
      </c>
      <c r="H29" s="216">
        <f>IF('Subcases Monthly'!$D$4="","",VLOOKUP('Subcases Monthly'!$D$4,DataLookUp!$A$4:$AVY$70,187,FALSE))</f>
        <v>0</v>
      </c>
      <c r="I29" s="216">
        <f>IF('Subcases Monthly'!$D$4="","",VLOOKUP('Subcases Monthly'!$D$4,DataLookUp!$A$4:$AVY$70,187,FALSE))</f>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87"/>
    </row>
    <row r="30" spans="1:18" s="13" customFormat="1" ht="20.100000000000001" customHeight="1" thickTop="1" thickBot="1" x14ac:dyDescent="0.25">
      <c r="B30" s="192"/>
      <c r="C30" s="471" t="s">
        <v>165</v>
      </c>
      <c r="D30" s="472"/>
      <c r="E30" s="211">
        <f>SUM(E26:E29)</f>
        <v>97</v>
      </c>
      <c r="F30" s="212">
        <f t="shared" ref="F30:P30" si="17">SUM(F26:F29)</f>
        <v>95</v>
      </c>
      <c r="G30" s="212">
        <f t="shared" si="17"/>
        <v>79</v>
      </c>
      <c r="H30" s="212">
        <f t="shared" si="17"/>
        <v>71</v>
      </c>
      <c r="I30" s="212">
        <f t="shared" si="17"/>
        <v>0</v>
      </c>
      <c r="J30" s="212">
        <f t="shared" si="17"/>
        <v>0</v>
      </c>
      <c r="K30" s="212">
        <f t="shared" si="17"/>
        <v>0</v>
      </c>
      <c r="L30" s="212">
        <f t="shared" si="17"/>
        <v>0</v>
      </c>
      <c r="M30" s="212">
        <f t="shared" si="17"/>
        <v>0</v>
      </c>
      <c r="N30" s="212">
        <f t="shared" si="17"/>
        <v>0</v>
      </c>
      <c r="O30" s="212">
        <f t="shared" si="17"/>
        <v>0</v>
      </c>
      <c r="P30" s="213">
        <f t="shared" si="17"/>
        <v>0</v>
      </c>
      <c r="Q30" s="247">
        <f t="shared" si="16"/>
        <v>342</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4" t="s">
        <v>167</v>
      </c>
      <c r="D33" s="475"/>
      <c r="E33" s="130">
        <v>150</v>
      </c>
      <c r="F33" s="131">
        <v>160</v>
      </c>
      <c r="G33" s="131">
        <v>179</v>
      </c>
      <c r="H33" s="131">
        <v>158</v>
      </c>
      <c r="I33" s="131">
        <f>IF('Subcases Monthly'!$D$4="","",VLOOKUP('Subcases Monthly'!$D$4,DataLookUp!$A$4:$AVY$70,214,FALSE))</f>
        <v>0</v>
      </c>
      <c r="J33" s="131">
        <f>IF('Subcases Monthly'!$D$4="","",VLOOKUP('Subcases Monthly'!$D$4,DataLookUp!$A$4:$AVY$70,215,FALSE))</f>
        <v>0</v>
      </c>
      <c r="K33" s="131">
        <f>IF('Subcases Monthly'!$D$4="","",VLOOKUP('Subcases Monthly'!$D$4,DataLookUp!$A$4:$AVY$70,216,FALSE))</f>
        <v>0</v>
      </c>
      <c r="L33" s="131">
        <f>IF('Subcases Monthly'!$D$4="","",VLOOKUP('Subcases Monthly'!$D$4,DataLookUp!$A$4:$AVY$70,217,FALSE))</f>
        <v>0</v>
      </c>
      <c r="M33" s="131">
        <f>IF('Subcases Monthly'!$D$4="","",VLOOKUP('Subcases Monthly'!$D$4,DataLookUp!$A$4:$AVY$70,218,FALSE))</f>
        <v>0</v>
      </c>
      <c r="N33" s="131">
        <f>IF('Subcases Monthly'!$D$4="","",VLOOKUP('Subcases Monthly'!$D$4,DataLookUp!$A$4:$AVY$70,219,FALSE))</f>
        <v>0</v>
      </c>
      <c r="O33" s="131">
        <f>IF('Subcases Monthly'!$D$4="","",VLOOKUP('Subcases Monthly'!$D$4,DataLookUp!$A$4:$AVY$70,220,FALSE))</f>
        <v>0</v>
      </c>
      <c r="P33" s="163">
        <f>IF('Subcases Monthly'!$D$4="","",VLOOKUP('Subcases Monthly'!$D$4,DataLookUp!$A$4:$AVY$70,221,FALSE))</f>
        <v>0</v>
      </c>
      <c r="Q33" s="452">
        <f t="shared" ref="Q33:Q36" si="19">SUM(E33:P33)</f>
        <v>647</v>
      </c>
      <c r="R33" s="488">
        <f>IF('Subcases Monthly'!$D$4="","",VLOOKUP('Subcases Monthly'!$D$4,DataLookUp!$A$4:$AVY$70,1267,FALSE))</f>
        <v>0</v>
      </c>
    </row>
    <row r="34" spans="1:18" ht="20.100000000000001" customHeight="1" x14ac:dyDescent="0.2">
      <c r="B34" s="190"/>
      <c r="C34" s="461" t="s">
        <v>168</v>
      </c>
      <c r="D34" s="462"/>
      <c r="E34" s="127">
        <v>561</v>
      </c>
      <c r="F34" s="128">
        <v>549</v>
      </c>
      <c r="G34" s="128">
        <v>555</v>
      </c>
      <c r="H34" s="128">
        <v>672</v>
      </c>
      <c r="I34" s="128">
        <f>IF('Subcases Monthly'!$D$4="","",VLOOKUP('Subcases Monthly'!$D$4,DataLookUp!$A$4:$AVY$70,227,FALSE))</f>
        <v>0</v>
      </c>
      <c r="J34" s="128">
        <f>IF('Subcases Monthly'!$D$4="","",VLOOKUP('Subcases Monthly'!$D$4,DataLookUp!$A$4:$AVY$70,228,FALSE))</f>
        <v>0</v>
      </c>
      <c r="K34" s="128">
        <f>IF('Subcases Monthly'!$D$4="","",VLOOKUP('Subcases Monthly'!$D$4,DataLookUp!$A$4:$AVY$70,229,FALSE))</f>
        <v>0</v>
      </c>
      <c r="L34" s="128">
        <f>IF('Subcases Monthly'!$D$4="","",VLOOKUP('Subcases Monthly'!$D$4,DataLookUp!$A$4:$AVY$70,230,FALSE))</f>
        <v>0</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62">
        <f>IF('Subcases Monthly'!$D$4="","",VLOOKUP('Subcases Monthly'!$D$4,DataLookUp!$A$4:$AVY$70,234,FALSE))</f>
        <v>0</v>
      </c>
      <c r="Q34" s="453">
        <f t="shared" si="19"/>
        <v>2337</v>
      </c>
      <c r="R34" s="489"/>
    </row>
    <row r="35" spans="1:18" ht="20.100000000000001" customHeight="1" thickBot="1" x14ac:dyDescent="0.25">
      <c r="B35" s="197">
        <v>1</v>
      </c>
      <c r="C35" s="469" t="s">
        <v>157</v>
      </c>
      <c r="D35" s="470"/>
      <c r="E35" s="221">
        <f>IF('Subcases Monthly'!$D$4="","",VLOOKUP('Subcases Monthly'!$D$4,DataLookUp!$A$4:$AVY$70,236,FALSE))</f>
        <v>0</v>
      </c>
      <c r="F35" s="221">
        <v>0</v>
      </c>
      <c r="G35" s="221">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f>IF('Subcases Monthly'!$D$4="","",VLOOKUP('Subcases Monthly'!$D$4,DataLookUp!$A$4:$AVY$70,243,FALSE))</f>
        <v>0</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f>IF('Subcases Monthly'!$D$4="","",VLOOKUP('Subcases Monthly'!$D$4,DataLookUp!$A$4:$AVY$70,247,FALSE))</f>
        <v>0</v>
      </c>
      <c r="Q35" s="454">
        <f t="shared" si="19"/>
        <v>0</v>
      </c>
      <c r="R35" s="490"/>
    </row>
    <row r="36" spans="1:18" s="13" customFormat="1" ht="20.100000000000001" customHeight="1" thickTop="1" thickBot="1" x14ac:dyDescent="0.25">
      <c r="B36" s="192"/>
      <c r="C36" s="471" t="s">
        <v>169</v>
      </c>
      <c r="D36" s="472"/>
      <c r="E36" s="211">
        <f>SUM(E33:E35)</f>
        <v>711</v>
      </c>
      <c r="F36" s="212">
        <f t="shared" ref="F36:P36" si="20">SUM(F33:F35)</f>
        <v>709</v>
      </c>
      <c r="G36" s="212">
        <f t="shared" si="20"/>
        <v>734</v>
      </c>
      <c r="H36" s="212">
        <f t="shared" si="20"/>
        <v>830</v>
      </c>
      <c r="I36" s="212">
        <f t="shared" si="20"/>
        <v>0</v>
      </c>
      <c r="J36" s="212">
        <f t="shared" si="20"/>
        <v>0</v>
      </c>
      <c r="K36" s="212">
        <f t="shared" si="20"/>
        <v>0</v>
      </c>
      <c r="L36" s="212">
        <f t="shared" si="20"/>
        <v>0</v>
      </c>
      <c r="M36" s="212">
        <f t="shared" si="20"/>
        <v>0</v>
      </c>
      <c r="N36" s="212">
        <f t="shared" si="20"/>
        <v>0</v>
      </c>
      <c r="O36" s="212">
        <f t="shared" si="20"/>
        <v>0</v>
      </c>
      <c r="P36" s="261">
        <f t="shared" si="20"/>
        <v>0</v>
      </c>
      <c r="Q36" s="136">
        <f t="shared" si="19"/>
        <v>2984</v>
      </c>
      <c r="R36" s="239" t="str">
        <f>IF($Q35&gt;0,"Please Provide Comment"," ")</f>
        <v xml:space="preserve"> </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4" t="s">
        <v>170</v>
      </c>
      <c r="D39" s="475"/>
      <c r="E39" s="131">
        <v>2</v>
      </c>
      <c r="F39" s="131">
        <v>1</v>
      </c>
      <c r="G39" s="131">
        <v>4</v>
      </c>
      <c r="H39" s="131">
        <v>1</v>
      </c>
      <c r="I39" s="131">
        <f>IF('Subcases Monthly'!$D$4="","",VLOOKUP('Subcases Monthly'!$D$4,DataLookUp!$A$4:$AVY$70,266,FALSE))</f>
        <v>0</v>
      </c>
      <c r="J39" s="131">
        <f>IF('Subcases Monthly'!$D$4="","",VLOOKUP('Subcases Monthly'!$D$4,DataLookUp!$A$4:$AVY$70,267,FALSE))</f>
        <v>0</v>
      </c>
      <c r="K39" s="131">
        <f>IF('Subcases Monthly'!$D$4="","",VLOOKUP('Subcases Monthly'!$D$4,DataLookUp!$A$4:$AVY$70,268,FALSE))</f>
        <v>0</v>
      </c>
      <c r="L39" s="131">
        <f>IF('Subcases Monthly'!$D$4="","",VLOOKUP('Subcases Monthly'!$D$4,DataLookUp!$A$4:$AVY$70,269,FALSE))</f>
        <v>0</v>
      </c>
      <c r="M39" s="131">
        <f>IF('Subcases Monthly'!$D$4="","",VLOOKUP('Subcases Monthly'!$D$4,DataLookUp!$A$4:$AVY$70,270,FALSE))</f>
        <v>0</v>
      </c>
      <c r="N39" s="131">
        <f>IF('Subcases Monthly'!$D$4="","",VLOOKUP('Subcases Monthly'!$D$4,DataLookUp!$A$4:$AVY$70,271,FALSE))</f>
        <v>0</v>
      </c>
      <c r="O39" s="131">
        <f>IF('Subcases Monthly'!$D$4="","",VLOOKUP('Subcases Monthly'!$D$4,DataLookUp!$A$4:$AVY$70,272,FALSE))</f>
        <v>0</v>
      </c>
      <c r="P39" s="163">
        <f>IF('Subcases Monthly'!$D$4="","",VLOOKUP('Subcases Monthly'!$D$4,DataLookUp!$A$4:$AVY$70,273,FALSE))</f>
        <v>0</v>
      </c>
      <c r="Q39" s="452">
        <f t="shared" ref="Q39:Q60" si="22">SUM(E39:P39)</f>
        <v>8</v>
      </c>
      <c r="R39" s="488">
        <f>IF('Subcases Monthly'!$D$4="","",VLOOKUP('Subcases Monthly'!$D$4,DataLookUp!$A$4:$AVY$70,1268,FALSE))</f>
        <v>0</v>
      </c>
    </row>
    <row r="40" spans="1:18" ht="20.100000000000001" customHeight="1" x14ac:dyDescent="0.2">
      <c r="B40" s="190"/>
      <c r="C40" s="461" t="s">
        <v>171</v>
      </c>
      <c r="D40" s="462"/>
      <c r="E40" s="128">
        <v>0</v>
      </c>
      <c r="F40" s="128">
        <v>0</v>
      </c>
      <c r="G40" s="128">
        <v>2</v>
      </c>
      <c r="H40" s="128">
        <f>IF('Subcases Monthly'!$D$4="","",VLOOKUP('Subcases Monthly'!$D$4,DataLookUp!$A$4:$AVY$70,278,FALSE))</f>
        <v>0</v>
      </c>
      <c r="I40" s="128">
        <f>IF('Subcases Monthly'!$D$4="","",VLOOKUP('Subcases Monthly'!$D$4,DataLookUp!$A$4:$AVY$70,279,FALSE))</f>
        <v>0</v>
      </c>
      <c r="J40" s="128">
        <f>IF('Subcases Monthly'!$D$4="","",VLOOKUP('Subcases Monthly'!$D$4,DataLookUp!$A$4:$AVY$70,280,FALSE))</f>
        <v>0</v>
      </c>
      <c r="K40" s="128">
        <f>IF('Subcases Monthly'!$D$4="","",VLOOKUP('Subcases Monthly'!$D$4,DataLookUp!$A$4:$AVY$70,281,FALSE))</f>
        <v>0</v>
      </c>
      <c r="L40" s="128">
        <f>IF('Subcases Monthly'!$D$4="","",VLOOKUP('Subcases Monthly'!$D$4,DataLookUp!$A$4:$AVY$70,282,FALSE))</f>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62">
        <f>IF('Subcases Monthly'!$D$4="","",VLOOKUP('Subcases Monthly'!$D$4,DataLookUp!$A$4:$AVY$70,286,FALSE))</f>
        <v>0</v>
      </c>
      <c r="Q40" s="453">
        <f t="shared" si="22"/>
        <v>2</v>
      </c>
      <c r="R40" s="489"/>
    </row>
    <row r="41" spans="1:18" ht="20.100000000000001" customHeight="1" x14ac:dyDescent="0.2">
      <c r="B41" s="190"/>
      <c r="C41" s="461" t="s">
        <v>172</v>
      </c>
      <c r="D41" s="462"/>
      <c r="E41" s="131">
        <v>78</v>
      </c>
      <c r="F41" s="131">
        <v>62</v>
      </c>
      <c r="G41" s="131">
        <v>97</v>
      </c>
      <c r="H41" s="131">
        <v>88</v>
      </c>
      <c r="I41" s="131">
        <f>IF('Subcases Monthly'!$D$4="","",VLOOKUP('Subcases Monthly'!$D$4,DataLookUp!$A$4:$AVY$70,292,FALSE))</f>
        <v>0</v>
      </c>
      <c r="J41" s="131">
        <f>IF('Subcases Monthly'!$D$4="","",VLOOKUP('Subcases Monthly'!$D$4,DataLookUp!$A$4:$AVY$70,293,FALSE))</f>
        <v>0</v>
      </c>
      <c r="K41" s="131">
        <f>IF('Subcases Monthly'!$D$4="","",VLOOKUP('Subcases Monthly'!$D$4,DataLookUp!$A$4:$AVY$70,294,FALSE))</f>
        <v>0</v>
      </c>
      <c r="L41" s="131">
        <f>IF('Subcases Monthly'!$D$4="","",VLOOKUP('Subcases Monthly'!$D$4,DataLookUp!$A$4:$AVY$70,295,FALSE))</f>
        <v>0</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63">
        <f>IF('Subcases Monthly'!$D$4="","",VLOOKUP('Subcases Monthly'!$D$4,DataLookUp!$A$4:$AVY$70,299,FALSE))</f>
        <v>0</v>
      </c>
      <c r="Q41" s="453">
        <f t="shared" si="22"/>
        <v>325</v>
      </c>
      <c r="R41" s="489"/>
    </row>
    <row r="42" spans="1:18" ht="20.100000000000001" customHeight="1" x14ac:dyDescent="0.2">
      <c r="B42" s="190"/>
      <c r="C42" s="461" t="s">
        <v>173</v>
      </c>
      <c r="D42" s="462"/>
      <c r="E42" s="128">
        <v>1</v>
      </c>
      <c r="F42" s="128">
        <v>1</v>
      </c>
      <c r="G42" s="128">
        <v>1</v>
      </c>
      <c r="H42" s="128">
        <f>IF('Subcases Monthly'!$D$4="","",VLOOKUP('Subcases Monthly'!$D$4,DataLookUp!$A$4:$AVY$70,304,FALSE))</f>
        <v>0</v>
      </c>
      <c r="I42" s="128">
        <f>IF('Subcases Monthly'!$D$4="","",VLOOKUP('Subcases Monthly'!$D$4,DataLookUp!$A$4:$AVY$70,305,FALSE))</f>
        <v>0</v>
      </c>
      <c r="J42" s="128">
        <f>IF('Subcases Monthly'!$D$4="","",VLOOKUP('Subcases Monthly'!$D$4,DataLookUp!$A$4:$AVY$70,306,FALSE))</f>
        <v>0</v>
      </c>
      <c r="K42" s="128">
        <f>IF('Subcases Monthly'!$D$4="","",VLOOKUP('Subcases Monthly'!$D$4,DataLookUp!$A$4:$AVY$70,307,FALSE))</f>
        <v>0</v>
      </c>
      <c r="L42" s="128">
        <f>IF('Subcases Monthly'!$D$4="","",VLOOKUP('Subcases Monthly'!$D$4,DataLookUp!$A$4:$AVY$70,308,FALSE))</f>
        <v>0</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62">
        <f>IF('Subcases Monthly'!$D$4="","",VLOOKUP('Subcases Monthly'!$D$4,DataLookUp!$A$4:$AVY$70,312,FALSE))</f>
        <v>0</v>
      </c>
      <c r="Q42" s="453">
        <f t="shared" si="22"/>
        <v>3</v>
      </c>
      <c r="R42" s="489"/>
    </row>
    <row r="43" spans="1:18" ht="20.100000000000001" customHeight="1" x14ac:dyDescent="0.2">
      <c r="B43" s="190"/>
      <c r="C43" s="461" t="s">
        <v>174</v>
      </c>
      <c r="D43" s="462"/>
      <c r="E43" s="131">
        <v>64</v>
      </c>
      <c r="F43" s="131">
        <v>43</v>
      </c>
      <c r="G43" s="131">
        <v>47</v>
      </c>
      <c r="H43" s="131">
        <v>39</v>
      </c>
      <c r="I43" s="131">
        <f>IF('Subcases Monthly'!$D$4="","",VLOOKUP('Subcases Monthly'!$D$4,DataLookUp!$A$4:$AVY$70,318,FALSE))</f>
        <v>0</v>
      </c>
      <c r="J43" s="131">
        <f>IF('Subcases Monthly'!$D$4="","",VLOOKUP('Subcases Monthly'!$D$4,DataLookUp!$A$4:$AVY$70,319,FALSE))</f>
        <v>0</v>
      </c>
      <c r="K43" s="131">
        <f>IF('Subcases Monthly'!$D$4="","",VLOOKUP('Subcases Monthly'!$D$4,DataLookUp!$A$4:$AVY$70,320,FALSE))</f>
        <v>0</v>
      </c>
      <c r="L43" s="131">
        <f>IF('Subcases Monthly'!$D$4="","",VLOOKUP('Subcases Monthly'!$D$4,DataLookUp!$A$4:$AVY$70,321,FALSE))</f>
        <v>0</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63">
        <f>IF('Subcases Monthly'!$D$4="","",VLOOKUP('Subcases Monthly'!$D$4,DataLookUp!$A$4:$AVY$70,325,FALSE))</f>
        <v>0</v>
      </c>
      <c r="Q43" s="453">
        <f t="shared" si="22"/>
        <v>193</v>
      </c>
      <c r="R43" s="489"/>
    </row>
    <row r="44" spans="1:18" ht="20.100000000000001" customHeight="1" x14ac:dyDescent="0.2">
      <c r="B44" s="190"/>
      <c r="C44" s="461" t="s">
        <v>175</v>
      </c>
      <c r="D44" s="462"/>
      <c r="E44" s="128">
        <v>0</v>
      </c>
      <c r="F44" s="128">
        <v>0</v>
      </c>
      <c r="G44" s="128">
        <v>0</v>
      </c>
      <c r="H44" s="128">
        <f>IF('Subcases Monthly'!$D$4="","",VLOOKUP('Subcases Monthly'!$D$4,DataLookUp!$A$4:$AVY$70,330,FALSE))</f>
        <v>0</v>
      </c>
      <c r="I44" s="128">
        <f>IF('Subcases Monthly'!$D$4="","",VLOOKUP('Subcases Monthly'!$D$4,DataLookUp!$A$4:$AVY$70,331,FALSE))</f>
        <v>0</v>
      </c>
      <c r="J44" s="128">
        <f>IF('Subcases Monthly'!$D$4="","",VLOOKUP('Subcases Monthly'!$D$4,DataLookUp!$A$4:$AVY$70,332,FALSE))</f>
        <v>0</v>
      </c>
      <c r="K44" s="128">
        <f>IF('Subcases Monthly'!$D$4="","",VLOOKUP('Subcases Monthly'!$D$4,DataLookUp!$A$4:$AVY$70,333,FALSE))</f>
        <v>0</v>
      </c>
      <c r="L44" s="128">
        <f>IF('Subcases Monthly'!$D$4="","",VLOOKUP('Subcases Monthly'!$D$4,DataLookUp!$A$4:$AVY$70,334,FALSE))</f>
        <v>0</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62">
        <f>IF('Subcases Monthly'!$D$4="","",VLOOKUP('Subcases Monthly'!$D$4,DataLookUp!$A$4:$AVY$70,338,FALSE))</f>
        <v>0</v>
      </c>
      <c r="Q44" s="453">
        <f t="shared" si="22"/>
        <v>0</v>
      </c>
      <c r="R44" s="489"/>
    </row>
    <row r="45" spans="1:18" ht="20.100000000000001" customHeight="1" x14ac:dyDescent="0.2">
      <c r="B45" s="190"/>
      <c r="C45" s="461" t="s">
        <v>176</v>
      </c>
      <c r="D45" s="462"/>
      <c r="E45" s="131">
        <v>31</v>
      </c>
      <c r="F45" s="131">
        <v>28</v>
      </c>
      <c r="G45" s="131">
        <v>31</v>
      </c>
      <c r="H45" s="131">
        <v>27</v>
      </c>
      <c r="I45" s="131">
        <f>IF('Subcases Monthly'!$D$4="","",VLOOKUP('Subcases Monthly'!$D$4,DataLookUp!$A$4:$AVY$70,344,FALSE))</f>
        <v>0</v>
      </c>
      <c r="J45" s="131">
        <f>IF('Subcases Monthly'!$D$4="","",VLOOKUP('Subcases Monthly'!$D$4,DataLookUp!$A$4:$AVY$70,345,FALSE))</f>
        <v>0</v>
      </c>
      <c r="K45" s="131">
        <f>IF('Subcases Monthly'!$D$4="","",VLOOKUP('Subcases Monthly'!$D$4,DataLookUp!$A$4:$AVY$70,346,FALSE))</f>
        <v>0</v>
      </c>
      <c r="L45" s="131">
        <f>IF('Subcases Monthly'!$D$4="","",VLOOKUP('Subcases Monthly'!$D$4,DataLookUp!$A$4:$AVY$70,347,FALSE))</f>
        <v>0</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63">
        <f>IF('Subcases Monthly'!$D$4="","",VLOOKUP('Subcases Monthly'!$D$4,DataLookUp!$A$4:$AVY$70,351,FALSE))</f>
        <v>0</v>
      </c>
      <c r="Q45" s="453">
        <f t="shared" si="22"/>
        <v>117</v>
      </c>
      <c r="R45" s="489"/>
    </row>
    <row r="46" spans="1:18" ht="20.100000000000001" customHeight="1" x14ac:dyDescent="0.2">
      <c r="B46" s="190"/>
      <c r="C46" s="461" t="s">
        <v>177</v>
      </c>
      <c r="D46" s="462"/>
      <c r="E46" s="128">
        <v>3</v>
      </c>
      <c r="F46" s="128">
        <v>0</v>
      </c>
      <c r="G46" s="128">
        <v>5</v>
      </c>
      <c r="H46" s="128">
        <v>2</v>
      </c>
      <c r="I46" s="128">
        <f>IF('Subcases Monthly'!$D$4="","",VLOOKUP('Subcases Monthly'!$D$4,DataLookUp!$A$4:$AVY$70,357,FALSE))</f>
        <v>0</v>
      </c>
      <c r="J46" s="128">
        <f>IF('Subcases Monthly'!$D$4="","",VLOOKUP('Subcases Monthly'!$D$4,DataLookUp!$A$4:$AVY$70,358,FALSE))</f>
        <v>0</v>
      </c>
      <c r="K46" s="128">
        <f>IF('Subcases Monthly'!$D$4="","",VLOOKUP('Subcases Monthly'!$D$4,DataLookUp!$A$4:$AVY$70,359,FALSE))</f>
        <v>0</v>
      </c>
      <c r="L46" s="128">
        <f>IF('Subcases Monthly'!$D$4="","",VLOOKUP('Subcases Monthly'!$D$4,DataLookUp!$A$4:$AVY$70,360,FALSE))</f>
        <v>0</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62">
        <f>IF('Subcases Monthly'!$D$4="","",VLOOKUP('Subcases Monthly'!$D$4,DataLookUp!$A$4:$AVY$70,364,FALSE))</f>
        <v>0</v>
      </c>
      <c r="Q46" s="453">
        <f t="shared" si="22"/>
        <v>10</v>
      </c>
      <c r="R46" s="489"/>
    </row>
    <row r="47" spans="1:18" ht="20.100000000000001" customHeight="1" x14ac:dyDescent="0.2">
      <c r="B47" s="190"/>
      <c r="C47" s="461" t="s">
        <v>178</v>
      </c>
      <c r="D47" s="462"/>
      <c r="E47" s="131">
        <v>25</v>
      </c>
      <c r="F47" s="131">
        <v>20</v>
      </c>
      <c r="G47" s="131">
        <v>21</v>
      </c>
      <c r="H47" s="131">
        <v>25</v>
      </c>
      <c r="I47" s="131">
        <f>IF('Subcases Monthly'!$D$4="","",VLOOKUP('Subcases Monthly'!$D$4,DataLookUp!$A$4:$AVY$70,370,FALSE))</f>
        <v>0</v>
      </c>
      <c r="J47" s="131">
        <f>IF('Subcases Monthly'!$D$4="","",VLOOKUP('Subcases Monthly'!$D$4,DataLookUp!$A$4:$AVY$70,371,FALSE))</f>
        <v>0</v>
      </c>
      <c r="K47" s="131">
        <f>IF('Subcases Monthly'!$D$4="","",VLOOKUP('Subcases Monthly'!$D$4,DataLookUp!$A$4:$AVY$70,372,FALSE))</f>
        <v>0</v>
      </c>
      <c r="L47" s="131">
        <f>IF('Subcases Monthly'!$D$4="","",VLOOKUP('Subcases Monthly'!$D$4,DataLookUp!$A$4:$AVY$70,373,FALSE))</f>
        <v>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63">
        <f>IF('Subcases Monthly'!$D$4="","",VLOOKUP('Subcases Monthly'!$D$4,DataLookUp!$A$4:$AVY$70,377,FALSE))</f>
        <v>0</v>
      </c>
      <c r="Q47" s="453">
        <f t="shared" si="22"/>
        <v>91</v>
      </c>
      <c r="R47" s="489"/>
    </row>
    <row r="48" spans="1:18" ht="20.100000000000001" customHeight="1" x14ac:dyDescent="0.2">
      <c r="B48" s="190"/>
      <c r="C48" s="461" t="s">
        <v>179</v>
      </c>
      <c r="D48" s="462"/>
      <c r="E48" s="128">
        <v>23</v>
      </c>
      <c r="F48" s="128">
        <v>11</v>
      </c>
      <c r="G48" s="128">
        <v>12</v>
      </c>
      <c r="H48" s="128">
        <v>12</v>
      </c>
      <c r="I48" s="128">
        <f>IF('Subcases Monthly'!$D$4="","",VLOOKUP('Subcases Monthly'!$D$4,DataLookUp!$A$4:$AVY$70,383,FALSE))</f>
        <v>0</v>
      </c>
      <c r="J48" s="128">
        <f>IF('Subcases Monthly'!$D$4="","",VLOOKUP('Subcases Monthly'!$D$4,DataLookUp!$A$4:$AVY$70,384,FALSE))</f>
        <v>0</v>
      </c>
      <c r="K48" s="128">
        <f>IF('Subcases Monthly'!$D$4="","",VLOOKUP('Subcases Monthly'!$D$4,DataLookUp!$A$4:$AVY$70,385,FALSE))</f>
        <v>0</v>
      </c>
      <c r="L48" s="128">
        <f>IF('Subcases Monthly'!$D$4="","",VLOOKUP('Subcases Monthly'!$D$4,DataLookUp!$A$4:$AVY$70,386,FALSE))</f>
        <v>0</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62">
        <f>IF('Subcases Monthly'!$D$4="","",VLOOKUP('Subcases Monthly'!$D$4,DataLookUp!$A$4:$AVY$70,390,FALSE))</f>
        <v>0</v>
      </c>
      <c r="Q48" s="453">
        <f t="shared" si="22"/>
        <v>58</v>
      </c>
      <c r="R48" s="489"/>
    </row>
    <row r="49" spans="1:18" ht="20.100000000000001" customHeight="1" x14ac:dyDescent="0.2">
      <c r="B49" s="190"/>
      <c r="C49" s="461" t="s">
        <v>180</v>
      </c>
      <c r="D49" s="462"/>
      <c r="E49" s="131">
        <v>25</v>
      </c>
      <c r="F49" s="131">
        <v>24</v>
      </c>
      <c r="G49" s="131">
        <v>18</v>
      </c>
      <c r="H49" s="131">
        <v>18</v>
      </c>
      <c r="I49" s="131">
        <f>IF('Subcases Monthly'!$D$4="","",VLOOKUP('Subcases Monthly'!$D$4,DataLookUp!$A$4:$AVY$70,396,FALSE))</f>
        <v>0</v>
      </c>
      <c r="J49" s="131">
        <f>IF('Subcases Monthly'!$D$4="","",VLOOKUP('Subcases Monthly'!$D$4,DataLookUp!$A$4:$AVY$70,397,FALSE))</f>
        <v>0</v>
      </c>
      <c r="K49" s="131">
        <f>IF('Subcases Monthly'!$D$4="","",VLOOKUP('Subcases Monthly'!$D$4,DataLookUp!$A$4:$AVY$70,398,FALSE))</f>
        <v>0</v>
      </c>
      <c r="L49" s="131">
        <f>IF('Subcases Monthly'!$D$4="","",VLOOKUP('Subcases Monthly'!$D$4,DataLookUp!$A$4:$AVY$70,399,FALSE))</f>
        <v>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63">
        <f>IF('Subcases Monthly'!$D$4="","",VLOOKUP('Subcases Monthly'!$D$4,DataLookUp!$A$4:$AVY$70,403,FALSE))</f>
        <v>0</v>
      </c>
      <c r="Q49" s="453">
        <f t="shared" si="22"/>
        <v>85</v>
      </c>
      <c r="R49" s="489"/>
    </row>
    <row r="50" spans="1:18" ht="20.100000000000001" customHeight="1" x14ac:dyDescent="0.2">
      <c r="B50" s="190"/>
      <c r="C50" s="461" t="s">
        <v>181</v>
      </c>
      <c r="D50" s="462"/>
      <c r="E50" s="128">
        <v>47</v>
      </c>
      <c r="F50" s="128">
        <v>38</v>
      </c>
      <c r="G50" s="128">
        <v>37</v>
      </c>
      <c r="H50" s="128">
        <v>38</v>
      </c>
      <c r="I50" s="128">
        <f>IF('Subcases Monthly'!$D$4="","",VLOOKUP('Subcases Monthly'!$D$4,DataLookUp!$A$4:$AVY$70,409,FALSE))</f>
        <v>0</v>
      </c>
      <c r="J50" s="128">
        <f>IF('Subcases Monthly'!$D$4="","",VLOOKUP('Subcases Monthly'!$D$4,DataLookUp!$A$4:$AVY$70,410,FALSE))</f>
        <v>0</v>
      </c>
      <c r="K50" s="128">
        <f>IF('Subcases Monthly'!$D$4="","",VLOOKUP('Subcases Monthly'!$D$4,DataLookUp!$A$4:$AVY$70,411,FALSE))</f>
        <v>0</v>
      </c>
      <c r="L50" s="128">
        <f>IF('Subcases Monthly'!$D$4="","",VLOOKUP('Subcases Monthly'!$D$4,DataLookUp!$A$4:$AVY$70,412,FALSE))</f>
        <v>0</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62">
        <f>IF('Subcases Monthly'!$D$4="","",VLOOKUP('Subcases Monthly'!$D$4,DataLookUp!$A$4:$AVY$70,416,FALSE))</f>
        <v>0</v>
      </c>
      <c r="Q50" s="453">
        <f t="shared" si="22"/>
        <v>160</v>
      </c>
      <c r="R50" s="489"/>
    </row>
    <row r="51" spans="1:18" ht="20.100000000000001" customHeight="1" x14ac:dyDescent="0.2">
      <c r="B51" s="197">
        <v>2</v>
      </c>
      <c r="C51" s="461" t="s">
        <v>391</v>
      </c>
      <c r="D51" s="462"/>
      <c r="E51" s="131">
        <v>0</v>
      </c>
      <c r="F51" s="131">
        <v>0</v>
      </c>
      <c r="G51" s="131">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89"/>
    </row>
    <row r="52" spans="1:18" ht="20.100000000000001" customHeight="1" x14ac:dyDescent="0.2">
      <c r="B52" s="197">
        <v>2</v>
      </c>
      <c r="C52" s="461" t="s">
        <v>404</v>
      </c>
      <c r="D52" s="462"/>
      <c r="E52" s="128">
        <v>0</v>
      </c>
      <c r="F52" s="128">
        <v>2</v>
      </c>
      <c r="G52" s="128">
        <v>0</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f>IF('Subcases Monthly'!$D$4="","",VLOOKUP('Subcases Monthly'!$D$4,DataLookUp!$A$4:$AVY$70,438,FALSE))</f>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f>IF('Subcases Monthly'!$D$4="","",VLOOKUP('Subcases Monthly'!$D$4,DataLookUp!$A$4:$AVY$70,442,FALSE))</f>
        <v>0</v>
      </c>
      <c r="Q52" s="453">
        <f t="shared" si="22"/>
        <v>2</v>
      </c>
      <c r="R52" s="489"/>
    </row>
    <row r="53" spans="1:18" ht="20.100000000000001" customHeight="1" x14ac:dyDescent="0.2">
      <c r="B53" s="190"/>
      <c r="C53" s="461" t="s">
        <v>182</v>
      </c>
      <c r="D53" s="462"/>
      <c r="E53" s="131">
        <v>0</v>
      </c>
      <c r="F53" s="131">
        <v>0</v>
      </c>
      <c r="G53" s="131">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89"/>
    </row>
    <row r="54" spans="1:18" ht="20.100000000000001" customHeight="1" x14ac:dyDescent="0.2">
      <c r="B54" s="190"/>
      <c r="C54" s="461" t="s">
        <v>183</v>
      </c>
      <c r="D54" s="462"/>
      <c r="E54" s="128">
        <v>3</v>
      </c>
      <c r="F54" s="128">
        <v>9</v>
      </c>
      <c r="G54" s="128">
        <v>7</v>
      </c>
      <c r="H54" s="128">
        <v>12</v>
      </c>
      <c r="I54" s="128">
        <f>IF('Subcases Monthly'!$D$4="","",VLOOKUP('Subcases Monthly'!$D$4,DataLookUp!$A$4:$AVY$70,461,FALSE))</f>
        <v>0</v>
      </c>
      <c r="J54" s="128">
        <f>IF('Subcases Monthly'!$D$4="","",VLOOKUP('Subcases Monthly'!$D$4,DataLookUp!$A$4:$AVY$70,462,FALSE))</f>
        <v>0</v>
      </c>
      <c r="K54" s="128">
        <f>IF('Subcases Monthly'!$D$4="","",VLOOKUP('Subcases Monthly'!$D$4,DataLookUp!$A$4:$AVY$70,463,FALSE))</f>
        <v>0</v>
      </c>
      <c r="L54" s="128">
        <f>IF('Subcases Monthly'!$D$4="","",VLOOKUP('Subcases Monthly'!$D$4,DataLookUp!$A$4:$AVY$70,464,FALSE))</f>
        <v>0</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62">
        <f>IF('Subcases Monthly'!$D$4="","",VLOOKUP('Subcases Monthly'!$D$4,DataLookUp!$A$4:$AVY$70,468,FALSE))</f>
        <v>0</v>
      </c>
      <c r="Q54" s="453">
        <f t="shared" si="22"/>
        <v>31</v>
      </c>
      <c r="R54" s="489"/>
    </row>
    <row r="55" spans="1:18" ht="20.100000000000001" customHeight="1" x14ac:dyDescent="0.2">
      <c r="B55" s="190"/>
      <c r="C55" s="461" t="s">
        <v>184</v>
      </c>
      <c r="D55" s="462"/>
      <c r="E55" s="131">
        <v>2</v>
      </c>
      <c r="F55" s="131">
        <v>0</v>
      </c>
      <c r="G55" s="131">
        <v>1</v>
      </c>
      <c r="H55" s="131">
        <f>IF('Subcases Monthly'!$D$4="","",VLOOKUP('Subcases Monthly'!$D$4,DataLookUp!$A$4:$AVY$70,473,FALSE))</f>
        <v>0</v>
      </c>
      <c r="I55" s="131">
        <f>IF('Subcases Monthly'!$D$4="","",VLOOKUP('Subcases Monthly'!$D$4,DataLookUp!$A$4:$AVY$70,474,FALSE))</f>
        <v>0</v>
      </c>
      <c r="J55" s="131">
        <f>IF('Subcases Monthly'!$D$4="","",VLOOKUP('Subcases Monthly'!$D$4,DataLookUp!$A$4:$AVY$70,475,FALSE))</f>
        <v>0</v>
      </c>
      <c r="K55" s="131">
        <f>IF('Subcases Monthly'!$D$4="","",VLOOKUP('Subcases Monthly'!$D$4,DataLookUp!$A$4:$AVY$70,476,FALSE))</f>
        <v>0</v>
      </c>
      <c r="L55" s="131">
        <f>IF('Subcases Monthly'!$D$4="","",VLOOKUP('Subcases Monthly'!$D$4,DataLookUp!$A$4:$AVY$70,477,FALSE))</f>
        <v>0</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3</v>
      </c>
      <c r="R55" s="489"/>
    </row>
    <row r="56" spans="1:18" ht="20.100000000000001" customHeight="1" x14ac:dyDescent="0.2">
      <c r="B56" s="190"/>
      <c r="C56" s="461" t="s">
        <v>185</v>
      </c>
      <c r="D56" s="462"/>
      <c r="E56" s="128">
        <v>0</v>
      </c>
      <c r="F56" s="128">
        <v>0</v>
      </c>
      <c r="G56" s="128">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89"/>
    </row>
    <row r="57" spans="1:18" ht="20.100000000000001" customHeight="1" x14ac:dyDescent="0.2">
      <c r="B57" s="190"/>
      <c r="C57" s="461" t="s">
        <v>186</v>
      </c>
      <c r="D57" s="462"/>
      <c r="E57" s="131">
        <v>0</v>
      </c>
      <c r="F57" s="131">
        <v>0</v>
      </c>
      <c r="G57" s="131">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89"/>
    </row>
    <row r="58" spans="1:18" ht="20.100000000000001" customHeight="1" x14ac:dyDescent="0.2">
      <c r="B58" s="190"/>
      <c r="C58" s="461" t="s">
        <v>187</v>
      </c>
      <c r="D58" s="462"/>
      <c r="E58" s="128">
        <v>3</v>
      </c>
      <c r="F58" s="128">
        <v>3</v>
      </c>
      <c r="G58" s="128">
        <v>1</v>
      </c>
      <c r="H58" s="128">
        <f>IF('Subcases Monthly'!$D$4="","",VLOOKUP('Subcases Monthly'!$D$4,DataLookUp!$A$4:$AVY$70,512,FALSE))</f>
        <v>0</v>
      </c>
      <c r="I58" s="128">
        <f>IF('Subcases Monthly'!$D$4="","",VLOOKUP('Subcases Monthly'!$D$4,DataLookUp!$A$4:$AVY$70,513,FALSE))</f>
        <v>0</v>
      </c>
      <c r="J58" s="128">
        <f>IF('Subcases Monthly'!$D$4="","",VLOOKUP('Subcases Monthly'!$D$4,DataLookUp!$A$4:$AVY$70,514,FALSE))</f>
        <v>0</v>
      </c>
      <c r="K58" s="128">
        <f>IF('Subcases Monthly'!$D$4="","",VLOOKUP('Subcases Monthly'!$D$4,DataLookUp!$A$4:$AVY$70,515,FALSE))</f>
        <v>0</v>
      </c>
      <c r="L58" s="128">
        <f>IF('Subcases Monthly'!$D$4="","",VLOOKUP('Subcases Monthly'!$D$4,DataLookUp!$A$4:$AVY$70,516,FALSE))</f>
        <v>0</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62">
        <f>IF('Subcases Monthly'!$D$4="","",VLOOKUP('Subcases Monthly'!$D$4,DataLookUp!$A$4:$AVY$70,520,FALSE))</f>
        <v>0</v>
      </c>
      <c r="Q58" s="454">
        <f t="shared" si="22"/>
        <v>7</v>
      </c>
      <c r="R58" s="489"/>
    </row>
    <row r="59" spans="1:18" ht="20.100000000000001" customHeight="1" thickBot="1" x14ac:dyDescent="0.25">
      <c r="B59" s="199">
        <v>1</v>
      </c>
      <c r="C59" s="469" t="s">
        <v>157</v>
      </c>
      <c r="D59" s="470"/>
      <c r="E59" s="221">
        <f>IF('Subcases Monthly'!$D$4="","",VLOOKUP('Subcases Monthly'!$D$4,DataLookUp!$A$4:$AVY$70,522,FALSE))</f>
        <v>0</v>
      </c>
      <c r="F59" s="221">
        <v>0</v>
      </c>
      <c r="G59" s="221">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90"/>
    </row>
    <row r="60" spans="1:18" s="13" customFormat="1" ht="20.100000000000001" customHeight="1" thickTop="1" thickBot="1" x14ac:dyDescent="0.25">
      <c r="B60" s="192"/>
      <c r="C60" s="471" t="s">
        <v>392</v>
      </c>
      <c r="D60" s="472"/>
      <c r="E60" s="211">
        <f t="shared" ref="E60:P60" si="23">SUM(E39:E59)</f>
        <v>307</v>
      </c>
      <c r="F60" s="212">
        <f t="shared" si="23"/>
        <v>242</v>
      </c>
      <c r="G60" s="212">
        <f t="shared" si="23"/>
        <v>284</v>
      </c>
      <c r="H60" s="212">
        <f t="shared" si="23"/>
        <v>262</v>
      </c>
      <c r="I60" s="212">
        <f t="shared" si="23"/>
        <v>0</v>
      </c>
      <c r="J60" s="212">
        <f t="shared" si="23"/>
        <v>0</v>
      </c>
      <c r="K60" s="212">
        <f t="shared" si="23"/>
        <v>0</v>
      </c>
      <c r="L60" s="212">
        <f t="shared" si="23"/>
        <v>0</v>
      </c>
      <c r="M60" s="212">
        <f t="shared" si="23"/>
        <v>0</v>
      </c>
      <c r="N60" s="212">
        <f t="shared" si="23"/>
        <v>0</v>
      </c>
      <c r="O60" s="212">
        <f t="shared" si="23"/>
        <v>0</v>
      </c>
      <c r="P60" s="261">
        <f t="shared" si="23"/>
        <v>0</v>
      </c>
      <c r="Q60" s="136">
        <f t="shared" si="22"/>
        <v>1095</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4" t="s">
        <v>188</v>
      </c>
      <c r="D63" s="475"/>
      <c r="E63" s="143">
        <v>498</v>
      </c>
      <c r="F63" s="143">
        <v>515</v>
      </c>
      <c r="G63" s="143">
        <v>512</v>
      </c>
      <c r="H63" s="143">
        <v>479</v>
      </c>
      <c r="I63" s="143">
        <f>IF('Subcases Monthly'!$D$4="","",VLOOKUP('Subcases Monthly'!$D$4,DataLookUp!$A$4:$AVY$70,552,FALSE))</f>
        <v>0</v>
      </c>
      <c r="J63" s="143">
        <f>IF('Subcases Monthly'!$D$4="","",VLOOKUP('Subcases Monthly'!$D$4,DataLookUp!$A$4:$AVY$70,553,FALSE))</f>
        <v>0</v>
      </c>
      <c r="K63" s="143">
        <f>IF('Subcases Monthly'!$D$4="","",VLOOKUP('Subcases Monthly'!$D$4,DataLookUp!$A$4:$AVY$70,554,FALSE))</f>
        <v>0</v>
      </c>
      <c r="L63" s="143">
        <f>IF('Subcases Monthly'!$D$4="","",VLOOKUP('Subcases Monthly'!$D$4,DataLookUp!$A$4:$AVY$70,555,FALSE))</f>
        <v>0</v>
      </c>
      <c r="M63" s="143">
        <f>IF('Subcases Monthly'!$D$4="","",VLOOKUP('Subcases Monthly'!$D$4,DataLookUp!$A$4:$AVY$70,556,FALSE))</f>
        <v>0</v>
      </c>
      <c r="N63" s="143">
        <f>IF('Subcases Monthly'!$D$4="","",VLOOKUP('Subcases Monthly'!$D$4,DataLookUp!$A$4:$AVY$70,557,FALSE))</f>
        <v>0</v>
      </c>
      <c r="O63" s="143">
        <f>IF('Subcases Monthly'!$D$4="","",VLOOKUP('Subcases Monthly'!$D$4,DataLookUp!$A$4:$AVY$70,558,FALSE))</f>
        <v>0</v>
      </c>
      <c r="P63" s="456">
        <f>IF('Subcases Monthly'!$D$4="","",VLOOKUP('Subcases Monthly'!$D$4,DataLookUp!$A$4:$AVY$70,559,FALSE))</f>
        <v>0</v>
      </c>
      <c r="Q63" s="452">
        <f>SUM(E63:P63)</f>
        <v>2004</v>
      </c>
      <c r="R63" s="488">
        <f>IF('Subcases Monthly'!$D$4="","",VLOOKUP('Subcases Monthly'!$D$4,DataLookUp!$A$4:$AVY$70,1269,FALSE))</f>
        <v>0</v>
      </c>
    </row>
    <row r="64" spans="1:18" ht="20.100000000000001" customHeight="1" x14ac:dyDescent="0.2">
      <c r="B64" s="190"/>
      <c r="C64" s="461" t="s">
        <v>387</v>
      </c>
      <c r="D64" s="462"/>
      <c r="E64" s="142">
        <v>145</v>
      </c>
      <c r="F64" s="142">
        <v>160</v>
      </c>
      <c r="G64" s="142">
        <v>157</v>
      </c>
      <c r="H64" s="142">
        <v>170</v>
      </c>
      <c r="I64" s="142">
        <f>IF('Subcases Monthly'!$D$4="","",VLOOKUP('Subcases Monthly'!$D$4,DataLookUp!$A$4:$AVY$70,565,FALSE))</f>
        <v>0</v>
      </c>
      <c r="J64" s="142">
        <f>IF('Subcases Monthly'!$D$4="","",VLOOKUP('Subcases Monthly'!$D$4,DataLookUp!$A$4:$AVY$70,566,FALSE))</f>
        <v>0</v>
      </c>
      <c r="K64" s="142">
        <f>IF('Subcases Monthly'!$D$4="","",VLOOKUP('Subcases Monthly'!$D$4,DataLookUp!$A$4:$AVY$70,567,FALSE))</f>
        <v>0</v>
      </c>
      <c r="L64" s="142">
        <f>IF('Subcases Monthly'!$D$4="","",VLOOKUP('Subcases Monthly'!$D$4,DataLookUp!$A$4:$AVY$70,568,FALSE))</f>
        <v>0</v>
      </c>
      <c r="M64" s="142">
        <f>IF('Subcases Monthly'!$D$4="","",VLOOKUP('Subcases Monthly'!$D$4,DataLookUp!$A$4:$AVY$70,569,FALSE))</f>
        <v>0</v>
      </c>
      <c r="N64" s="142">
        <f>IF('Subcases Monthly'!$D$4="","",VLOOKUP('Subcases Monthly'!$D$4,DataLookUp!$A$4:$AVY$70,570,FALSE))</f>
        <v>0</v>
      </c>
      <c r="O64" s="142">
        <f>IF('Subcases Monthly'!$D$4="","",VLOOKUP('Subcases Monthly'!$D$4,DataLookUp!$A$4:$AVY$70,571,FALSE))</f>
        <v>0</v>
      </c>
      <c r="P64" s="457">
        <f>IF('Subcases Monthly'!$D$4="","",VLOOKUP('Subcases Monthly'!$D$4,DataLookUp!$A$4:$AVY$70,572,FALSE))</f>
        <v>0</v>
      </c>
      <c r="Q64" s="453">
        <f>SUM(E64:P64)</f>
        <v>632</v>
      </c>
      <c r="R64" s="489"/>
    </row>
    <row r="65" spans="1:18" ht="20.100000000000001" customHeight="1" x14ac:dyDescent="0.2">
      <c r="B65" s="190"/>
      <c r="C65" s="461" t="s">
        <v>386</v>
      </c>
      <c r="D65" s="462"/>
      <c r="E65" s="143">
        <v>151</v>
      </c>
      <c r="F65" s="143">
        <v>142</v>
      </c>
      <c r="G65" s="143">
        <v>150</v>
      </c>
      <c r="H65" s="143">
        <v>197</v>
      </c>
      <c r="I65" s="143">
        <f>IF('Subcases Monthly'!$D$4="","",VLOOKUP('Subcases Monthly'!$D$4,DataLookUp!$A$4:$AVY$70,578,FALSE))</f>
        <v>0</v>
      </c>
      <c r="J65" s="143">
        <f>IF('Subcases Monthly'!$D$4="","",VLOOKUP('Subcases Monthly'!$D$4,DataLookUp!$A$4:$AVY$70,579,FALSE))</f>
        <v>0</v>
      </c>
      <c r="K65" s="143">
        <f>IF('Subcases Monthly'!$D$4="","",VLOOKUP('Subcases Monthly'!$D$4,DataLookUp!$A$4:$AVY$70,580,FALSE))</f>
        <v>0</v>
      </c>
      <c r="L65" s="143">
        <f>IF('Subcases Monthly'!$D$4="","",VLOOKUP('Subcases Monthly'!$D$4,DataLookUp!$A$4:$AVY$70,581,FALSE))</f>
        <v>0</v>
      </c>
      <c r="M65" s="143">
        <f>IF('Subcases Monthly'!$D$4="","",VLOOKUP('Subcases Monthly'!$D$4,DataLookUp!$A$4:$AVY$70,582,FALSE))</f>
        <v>0</v>
      </c>
      <c r="N65" s="143">
        <f>IF('Subcases Monthly'!$D$4="","",VLOOKUP('Subcases Monthly'!$D$4,DataLookUp!$A$4:$AVY$70,583,FALSE))</f>
        <v>0</v>
      </c>
      <c r="O65" s="143">
        <f>IF('Subcases Monthly'!$D$4="","",VLOOKUP('Subcases Monthly'!$D$4,DataLookUp!$A$4:$AVY$70,584,FALSE))</f>
        <v>0</v>
      </c>
      <c r="P65" s="456">
        <f>IF('Subcases Monthly'!$D$4="","",VLOOKUP('Subcases Monthly'!$D$4,DataLookUp!$A$4:$AVY$70,585,FALSE))</f>
        <v>0</v>
      </c>
      <c r="Q65" s="453">
        <f>SUM(E65:P65)</f>
        <v>640</v>
      </c>
      <c r="R65" s="489"/>
    </row>
    <row r="66" spans="1:18" ht="20.100000000000001" customHeight="1" x14ac:dyDescent="0.2">
      <c r="B66" s="190"/>
      <c r="C66" s="461" t="s">
        <v>377</v>
      </c>
      <c r="D66" s="462"/>
      <c r="E66" s="142">
        <v>76</v>
      </c>
      <c r="F66" s="142">
        <v>51</v>
      </c>
      <c r="G66" s="142">
        <v>61</v>
      </c>
      <c r="H66" s="142">
        <v>70</v>
      </c>
      <c r="I66" s="142">
        <f>IF('Subcases Monthly'!$D$4="","",VLOOKUP('Subcases Monthly'!$D$4,DataLookUp!$A$4:$AVY$70,591,FALSE))</f>
        <v>0</v>
      </c>
      <c r="J66" s="142">
        <f>IF('Subcases Monthly'!$D$4="","",VLOOKUP('Subcases Monthly'!$D$4,DataLookUp!$A$4:$AVY$70,592,FALSE))</f>
        <v>0</v>
      </c>
      <c r="K66" s="142">
        <f>IF('Subcases Monthly'!$D$4="","",VLOOKUP('Subcases Monthly'!$D$4,DataLookUp!$A$4:$AVY$70,593,FALSE))</f>
        <v>0</v>
      </c>
      <c r="L66" s="142">
        <f>IF('Subcases Monthly'!$D$4="","",VLOOKUP('Subcases Monthly'!$D$4,DataLookUp!$A$4:$AVY$70,594,FALSE))</f>
        <v>0</v>
      </c>
      <c r="M66" s="142">
        <f>IF('Subcases Monthly'!$D$4="","",VLOOKUP('Subcases Monthly'!$D$4,DataLookUp!$A$4:$AVY$70,595,FALSE))</f>
        <v>0</v>
      </c>
      <c r="N66" s="142">
        <f>IF('Subcases Monthly'!$D$4="","",VLOOKUP('Subcases Monthly'!$D$4,DataLookUp!$A$4:$AVY$70,596,FALSE))</f>
        <v>0</v>
      </c>
      <c r="O66" s="142">
        <f>IF('Subcases Monthly'!$D$4="","",VLOOKUP('Subcases Monthly'!$D$4,DataLookUp!$A$4:$AVY$70,597,FALSE))</f>
        <v>0</v>
      </c>
      <c r="P66" s="457">
        <f>IF('Subcases Monthly'!$D$4="","",VLOOKUP('Subcases Monthly'!$D$4,DataLookUp!$A$4:$AVY$70,598,FALSE))</f>
        <v>0</v>
      </c>
      <c r="Q66" s="453">
        <f>SUM(E66:P66)</f>
        <v>258</v>
      </c>
      <c r="R66" s="489"/>
    </row>
    <row r="67" spans="1:18" ht="20.100000000000001" customHeight="1" x14ac:dyDescent="0.2">
      <c r="B67" s="197">
        <v>4</v>
      </c>
      <c r="C67" s="461" t="s">
        <v>405</v>
      </c>
      <c r="D67" s="462"/>
      <c r="E67" s="143">
        <v>35</v>
      </c>
      <c r="F67" s="143">
        <v>35</v>
      </c>
      <c r="G67" s="143">
        <v>45</v>
      </c>
      <c r="H67" s="143">
        <v>37</v>
      </c>
      <c r="I67" s="143">
        <f>IF('Subcases Monthly'!$D$4="","",VLOOKUP('Subcases Monthly'!$D$4,DataLookUp!$A$4:$AVY$70,604,FALSE))</f>
        <v>0</v>
      </c>
      <c r="J67" s="143">
        <f>IF('Subcases Monthly'!$D$4="","",VLOOKUP('Subcases Monthly'!$D$4,DataLookUp!$A$4:$AVY$70,605,FALSE))</f>
        <v>0</v>
      </c>
      <c r="K67" s="143">
        <f>IF('Subcases Monthly'!$D$4="","",VLOOKUP('Subcases Monthly'!$D$4,DataLookUp!$A$4:$AVY$70,606,FALSE))</f>
        <v>0</v>
      </c>
      <c r="L67" s="143">
        <f>IF('Subcases Monthly'!$D$4="","",VLOOKUP('Subcases Monthly'!$D$4,DataLookUp!$A$4:$AVY$70,607,FALSE))</f>
        <v>0</v>
      </c>
      <c r="M67" s="143">
        <f>IF('Subcases Monthly'!$D$4="","",VLOOKUP('Subcases Monthly'!$D$4,DataLookUp!$A$4:$AVY$70,608,FALSE))</f>
        <v>0</v>
      </c>
      <c r="N67" s="143">
        <f>IF('Subcases Monthly'!$D$4="","",VLOOKUP('Subcases Monthly'!$D$4,DataLookUp!$A$4:$AVY$70,609,FALSE))</f>
        <v>0</v>
      </c>
      <c r="O67" s="143">
        <f>IF('Subcases Monthly'!$D$4="","",VLOOKUP('Subcases Monthly'!$D$4,DataLookUp!$A$4:$AVY$70,610,FALSE))</f>
        <v>0</v>
      </c>
      <c r="P67" s="456">
        <f>IF('Subcases Monthly'!$D$4="","",VLOOKUP('Subcases Monthly'!$D$4,DataLookUp!$A$4:$AVY$70,611,FALSE))</f>
        <v>0</v>
      </c>
      <c r="Q67" s="453">
        <f>SUM(E67:P67)</f>
        <v>152</v>
      </c>
      <c r="R67" s="489"/>
    </row>
    <row r="68" spans="1:18" ht="20.100000000000001" customHeight="1" x14ac:dyDescent="0.2">
      <c r="B68" s="190"/>
      <c r="C68" s="461" t="s">
        <v>189</v>
      </c>
      <c r="D68" s="462"/>
      <c r="E68" s="142">
        <v>5</v>
      </c>
      <c r="F68" s="142">
        <v>3</v>
      </c>
      <c r="G68" s="142">
        <v>4</v>
      </c>
      <c r="H68" s="142">
        <v>15</v>
      </c>
      <c r="I68" s="142">
        <f>IF('Subcases Monthly'!$D$4="","",VLOOKUP('Subcases Monthly'!$D$4,DataLookUp!$A$4:$AVY$70,617,FALSE))</f>
        <v>0</v>
      </c>
      <c r="J68" s="142">
        <f>IF('Subcases Monthly'!$D$4="","",VLOOKUP('Subcases Monthly'!$D$4,DataLookUp!$A$4:$AVY$70,618,FALSE))</f>
        <v>0</v>
      </c>
      <c r="K68" s="142">
        <f>IF('Subcases Monthly'!$D$4="","",VLOOKUP('Subcases Monthly'!$D$4,DataLookUp!$A$4:$AVY$70,619,FALSE))</f>
        <v>0</v>
      </c>
      <c r="L68" s="142">
        <f>IF('Subcases Monthly'!$D$4="","",VLOOKUP('Subcases Monthly'!$D$4,DataLookUp!$A$4:$AVY$70,620,FALSE))</f>
        <v>0</v>
      </c>
      <c r="M68" s="142">
        <f>IF('Subcases Monthly'!$D$4="","",VLOOKUP('Subcases Monthly'!$D$4,DataLookUp!$A$4:$AVY$70,621,FALSE))</f>
        <v>0</v>
      </c>
      <c r="N68" s="142">
        <f>IF('Subcases Monthly'!$D$4="","",VLOOKUP('Subcases Monthly'!$D$4,DataLookUp!$A$4:$AVY$70,622,FALSE))</f>
        <v>0</v>
      </c>
      <c r="O68" s="142">
        <f>IF('Subcases Monthly'!$D$4="","",VLOOKUP('Subcases Monthly'!$D$4,DataLookUp!$A$4:$AVY$70,623,FALSE))</f>
        <v>0</v>
      </c>
      <c r="P68" s="457">
        <f>IF('Subcases Monthly'!$D$4="","",VLOOKUP('Subcases Monthly'!$D$4,DataLookUp!$A$4:$AVY$70,624,FALSE))</f>
        <v>0</v>
      </c>
      <c r="Q68" s="453">
        <f t="shared" ref="Q68:Q73" si="25">SUM(E68:P68)</f>
        <v>27</v>
      </c>
      <c r="R68" s="489"/>
    </row>
    <row r="69" spans="1:18" ht="20.100000000000001" customHeight="1" x14ac:dyDescent="0.2">
      <c r="B69" s="190"/>
      <c r="C69" s="461" t="s">
        <v>190</v>
      </c>
      <c r="D69" s="462"/>
      <c r="E69" s="143">
        <v>269</v>
      </c>
      <c r="F69" s="143">
        <v>277</v>
      </c>
      <c r="G69" s="143">
        <v>243</v>
      </c>
      <c r="H69" s="143">
        <v>343</v>
      </c>
      <c r="I69" s="143">
        <f>IF('Subcases Monthly'!$D$4="","",VLOOKUP('Subcases Monthly'!$D$4,DataLookUp!$A$4:$AVY$70,630,FALSE))</f>
        <v>0</v>
      </c>
      <c r="J69" s="143">
        <f>IF('Subcases Monthly'!$D$4="","",VLOOKUP('Subcases Monthly'!$D$4,DataLookUp!$A$4:$AVY$70,631,FALSE))</f>
        <v>0</v>
      </c>
      <c r="K69" s="143">
        <f>IF('Subcases Monthly'!$D$4="","",VLOOKUP('Subcases Monthly'!$D$4,DataLookUp!$A$4:$AVY$70,632,FALSE))</f>
        <v>0</v>
      </c>
      <c r="L69" s="143">
        <f>IF('Subcases Monthly'!$D$4="","",VLOOKUP('Subcases Monthly'!$D$4,DataLookUp!$A$4:$AVY$70,633,FALSE))</f>
        <v>0</v>
      </c>
      <c r="M69" s="143">
        <f>IF('Subcases Monthly'!$D$4="","",VLOOKUP('Subcases Monthly'!$D$4,DataLookUp!$A$4:$AVY$70,634,FALSE))</f>
        <v>0</v>
      </c>
      <c r="N69" s="143">
        <f>IF('Subcases Monthly'!$D$4="","",VLOOKUP('Subcases Monthly'!$D$4,DataLookUp!$A$4:$AVY$70,635,FALSE))</f>
        <v>0</v>
      </c>
      <c r="O69" s="143">
        <f>IF('Subcases Monthly'!$D$4="","",VLOOKUP('Subcases Monthly'!$D$4,DataLookUp!$A$4:$AVY$70,636,FALSE))</f>
        <v>0</v>
      </c>
      <c r="P69" s="456">
        <f>IF('Subcases Monthly'!$D$4="","",VLOOKUP('Subcases Monthly'!$D$4,DataLookUp!$A$4:$AVY$70,637,FALSE))</f>
        <v>0</v>
      </c>
      <c r="Q69" s="453">
        <f t="shared" si="25"/>
        <v>1132</v>
      </c>
      <c r="R69" s="489"/>
    </row>
    <row r="70" spans="1:18" ht="20.100000000000001" customHeight="1" x14ac:dyDescent="0.2">
      <c r="B70" s="190"/>
      <c r="C70" s="461" t="s">
        <v>191</v>
      </c>
      <c r="D70" s="462"/>
      <c r="E70" s="142">
        <v>3</v>
      </c>
      <c r="F70" s="142">
        <v>5</v>
      </c>
      <c r="G70" s="142">
        <v>1</v>
      </c>
      <c r="H70" s="142">
        <v>11</v>
      </c>
      <c r="I70" s="142">
        <f>IF('Subcases Monthly'!$D$4="","",VLOOKUP('Subcases Monthly'!$D$4,DataLookUp!$A$4:$AVY$70,643,FALSE))</f>
        <v>0</v>
      </c>
      <c r="J70" s="142">
        <f>IF('Subcases Monthly'!$D$4="","",VLOOKUP('Subcases Monthly'!$D$4,DataLookUp!$A$4:$AVY$70,644,FALSE))</f>
        <v>0</v>
      </c>
      <c r="K70" s="142">
        <f>IF('Subcases Monthly'!$D$4="","",VLOOKUP('Subcases Monthly'!$D$4,DataLookUp!$A$4:$AVY$70,645,FALSE))</f>
        <v>0</v>
      </c>
      <c r="L70" s="142">
        <f>IF('Subcases Monthly'!$D$4="","",VLOOKUP('Subcases Monthly'!$D$4,DataLookUp!$A$4:$AVY$70,646,FALSE))</f>
        <v>0</v>
      </c>
      <c r="M70" s="142">
        <f>IF('Subcases Monthly'!$D$4="","",VLOOKUP('Subcases Monthly'!$D$4,DataLookUp!$A$4:$AVY$70,647,FALSE))</f>
        <v>0</v>
      </c>
      <c r="N70" s="142">
        <f>IF('Subcases Monthly'!$D$4="","",VLOOKUP('Subcases Monthly'!$D$4,DataLookUp!$A$4:$AVY$70,648,FALSE))</f>
        <v>0</v>
      </c>
      <c r="O70" s="142">
        <f>IF('Subcases Monthly'!$D$4="","",VLOOKUP('Subcases Monthly'!$D$4,DataLookUp!$A$4:$AVY$70,649,FALSE))</f>
        <v>0</v>
      </c>
      <c r="P70" s="457">
        <f>IF('Subcases Monthly'!$D$4="","",VLOOKUP('Subcases Monthly'!$D$4,DataLookUp!$A$4:$AVY$70,650,FALSE))</f>
        <v>0</v>
      </c>
      <c r="Q70" s="453">
        <f t="shared" si="25"/>
        <v>20</v>
      </c>
      <c r="R70" s="489"/>
    </row>
    <row r="71" spans="1:18" ht="20.100000000000001" customHeight="1" x14ac:dyDescent="0.2">
      <c r="B71" s="190"/>
      <c r="C71" s="461" t="s">
        <v>187</v>
      </c>
      <c r="D71" s="462"/>
      <c r="E71" s="143">
        <v>1</v>
      </c>
      <c r="F71" s="143">
        <v>0</v>
      </c>
      <c r="G71" s="143">
        <v>0</v>
      </c>
      <c r="H71" s="143">
        <v>1</v>
      </c>
      <c r="I71" s="143">
        <f>IF('Subcases Monthly'!$D$4="","",VLOOKUP('Subcases Monthly'!$D$4,DataLookUp!$A$4:$AVY$70,656,FALSE))</f>
        <v>0</v>
      </c>
      <c r="J71" s="143">
        <f>IF('Subcases Monthly'!$D$4="","",VLOOKUP('Subcases Monthly'!$D$4,DataLookUp!$A$4:$AVY$70,657,FALSE))</f>
        <v>0</v>
      </c>
      <c r="K71" s="143">
        <f>IF('Subcases Monthly'!$D$4="","",VLOOKUP('Subcases Monthly'!$D$4,DataLookUp!$A$4:$AVY$70,658,FALSE))</f>
        <v>0</v>
      </c>
      <c r="L71" s="143">
        <f>IF('Subcases Monthly'!$D$4="","",VLOOKUP('Subcases Monthly'!$D$4,DataLookUp!$A$4:$AVY$70,659,FALSE))</f>
        <v>0</v>
      </c>
      <c r="M71" s="143">
        <f>IF('Subcases Monthly'!$D$4="","",VLOOKUP('Subcases Monthly'!$D$4,DataLookUp!$A$4:$AVY$70,660,FALSE))</f>
        <v>0</v>
      </c>
      <c r="N71" s="143">
        <f>IF('Subcases Monthly'!$D$4="","",VLOOKUP('Subcases Monthly'!$D$4,DataLookUp!$A$4:$AVY$70,661,FALSE))</f>
        <v>0</v>
      </c>
      <c r="O71" s="143">
        <f>IF('Subcases Monthly'!$D$4="","",VLOOKUP('Subcases Monthly'!$D$4,DataLookUp!$A$4:$AVY$70,662,FALSE))</f>
        <v>0</v>
      </c>
      <c r="P71" s="456">
        <f>IF('Subcases Monthly'!$D$4="","",VLOOKUP('Subcases Monthly'!$D$4,DataLookUp!$A$4:$AVY$70,663,FALSE))</f>
        <v>0</v>
      </c>
      <c r="Q71" s="458">
        <f t="shared" si="25"/>
        <v>2</v>
      </c>
      <c r="R71" s="489"/>
    </row>
    <row r="72" spans="1:18" ht="20.100000000000001" customHeight="1" x14ac:dyDescent="0.2">
      <c r="B72" s="190"/>
      <c r="C72" s="461" t="s">
        <v>192</v>
      </c>
      <c r="D72" s="462"/>
      <c r="E72" s="142">
        <f>IF('Subcases Monthly'!$D$4="","",VLOOKUP('Subcases Monthly'!$D$4,DataLookUp!$A$4:$AVY$70,665,FALSE))</f>
        <v>0</v>
      </c>
      <c r="F72" s="142">
        <v>0</v>
      </c>
      <c r="G72" s="142">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89"/>
    </row>
    <row r="73" spans="1:18" ht="20.100000000000001" customHeight="1" thickBot="1" x14ac:dyDescent="0.25">
      <c r="B73" s="199">
        <v>1</v>
      </c>
      <c r="C73" s="469" t="s">
        <v>157</v>
      </c>
      <c r="D73" s="470"/>
      <c r="E73" s="221">
        <f>IF('Subcases Monthly'!$D$4="","",VLOOKUP('Subcases Monthly'!$D$4,DataLookUp!$A$4:$AVY$70,678,FALSE))</f>
        <v>0</v>
      </c>
      <c r="F73" s="221">
        <v>0</v>
      </c>
      <c r="G73" s="221">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90"/>
    </row>
    <row r="74" spans="1:18" s="13" customFormat="1" ht="20.100000000000001" customHeight="1" thickTop="1" thickBot="1" x14ac:dyDescent="0.25">
      <c r="B74" s="192"/>
      <c r="C74" s="471" t="s">
        <v>393</v>
      </c>
      <c r="D74" s="472"/>
      <c r="E74" s="211">
        <f t="shared" ref="E74:P74" si="26">SUM(E63:E73)</f>
        <v>1183</v>
      </c>
      <c r="F74" s="212">
        <f t="shared" si="26"/>
        <v>1188</v>
      </c>
      <c r="G74" s="212">
        <f t="shared" si="26"/>
        <v>1173</v>
      </c>
      <c r="H74" s="212">
        <f t="shared" si="26"/>
        <v>1323</v>
      </c>
      <c r="I74" s="212">
        <f t="shared" si="26"/>
        <v>0</v>
      </c>
      <c r="J74" s="212">
        <f t="shared" si="26"/>
        <v>0</v>
      </c>
      <c r="K74" s="212">
        <f t="shared" si="26"/>
        <v>0</v>
      </c>
      <c r="L74" s="212">
        <f t="shared" si="26"/>
        <v>0</v>
      </c>
      <c r="M74" s="212">
        <f t="shared" si="26"/>
        <v>0</v>
      </c>
      <c r="N74" s="212">
        <f t="shared" si="26"/>
        <v>0</v>
      </c>
      <c r="O74" s="212">
        <f t="shared" si="26"/>
        <v>0</v>
      </c>
      <c r="P74" s="261">
        <f t="shared" si="26"/>
        <v>0</v>
      </c>
      <c r="Q74" s="136">
        <f t="shared" ref="Q74" si="27">SUM(E74:P74)</f>
        <v>4867</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4" t="s">
        <v>193</v>
      </c>
      <c r="D77" s="475"/>
      <c r="E77" s="130">
        <v>181</v>
      </c>
      <c r="F77" s="131">
        <v>176</v>
      </c>
      <c r="G77" s="131">
        <v>172</v>
      </c>
      <c r="H77" s="131">
        <v>194</v>
      </c>
      <c r="I77" s="131">
        <f>IF('Subcases Monthly'!$D$4="","",VLOOKUP('Subcases Monthly'!$D$4,DataLookUp!$A$4:$AVY$70,708,FALSE))</f>
        <v>0</v>
      </c>
      <c r="J77" s="131">
        <f>IF('Subcases Monthly'!$D$4="","",VLOOKUP('Subcases Monthly'!$D$4,DataLookUp!$A$4:$AVY$70,709,FALSE))</f>
        <v>0</v>
      </c>
      <c r="K77" s="131">
        <f>IF('Subcases Monthly'!$D$4="","",VLOOKUP('Subcases Monthly'!$D$4,DataLookUp!$A$4:$AVY$70,710,FALSE))</f>
        <v>0</v>
      </c>
      <c r="L77" s="131">
        <f>IF('Subcases Monthly'!$D$4="","",VLOOKUP('Subcases Monthly'!$D$4,DataLookUp!$A$4:$AVY$70,711,FALSE))</f>
        <v>0</v>
      </c>
      <c r="M77" s="131">
        <f>IF('Subcases Monthly'!$D$4="","",VLOOKUP('Subcases Monthly'!$D$4,DataLookUp!$A$4:$AVY$70,712,FALSE))</f>
        <v>0</v>
      </c>
      <c r="N77" s="131">
        <f>IF('Subcases Monthly'!$D$4="","",VLOOKUP('Subcases Monthly'!$D$4,DataLookUp!$A$4:$AVY$70,713,FALSE))</f>
        <v>0</v>
      </c>
      <c r="O77" s="131">
        <f>IF('Subcases Monthly'!$D$4="","",VLOOKUP('Subcases Monthly'!$D$4,DataLookUp!$A$4:$AVY$70,714,FALSE))</f>
        <v>0</v>
      </c>
      <c r="P77" s="132">
        <f>IF('Subcases Monthly'!$D$4="","",VLOOKUP('Subcases Monthly'!$D$4,DataLookUp!$A$4:$AVY$70,715,FALSE))</f>
        <v>0</v>
      </c>
      <c r="Q77" s="133">
        <f t="shared" ref="Q77:Q94" si="39">SUM(E77:P77)</f>
        <v>723</v>
      </c>
      <c r="R77" s="485">
        <f>IF('Subcases Monthly'!$D$4="","",VLOOKUP('Subcases Monthly'!$D$4,DataLookUp!$A$4:$AVY$70,1270,FALSE))</f>
        <v>0</v>
      </c>
    </row>
    <row r="78" spans="1:18" ht="20.100000000000001" customHeight="1" x14ac:dyDescent="0.2">
      <c r="B78" s="190"/>
      <c r="C78" s="461" t="s">
        <v>194</v>
      </c>
      <c r="D78" s="462"/>
      <c r="E78" s="127">
        <v>42</v>
      </c>
      <c r="F78" s="128">
        <v>20</v>
      </c>
      <c r="G78" s="128">
        <v>18</v>
      </c>
      <c r="H78" s="128">
        <v>33</v>
      </c>
      <c r="I78" s="128">
        <f>IF('Subcases Monthly'!$D$4="","",VLOOKUP('Subcases Monthly'!$D$4,DataLookUp!$A$4:$AVY$70,721,FALSE))</f>
        <v>0</v>
      </c>
      <c r="J78" s="128">
        <f>IF('Subcases Monthly'!$D$4="","",VLOOKUP('Subcases Monthly'!$D$4,DataLookUp!$A$4:$AVY$70,722,FALSE))</f>
        <v>0</v>
      </c>
      <c r="K78" s="128">
        <f>IF('Subcases Monthly'!$D$4="","",VLOOKUP('Subcases Monthly'!$D$4,DataLookUp!$A$4:$AVY$70,723,FALSE))</f>
        <v>0</v>
      </c>
      <c r="L78" s="128">
        <f>IF('Subcases Monthly'!$D$4="","",VLOOKUP('Subcases Monthly'!$D$4,DataLookUp!$A$4:$AVY$70,724,FALSE))</f>
        <v>0</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39"/>
        <v>113</v>
      </c>
      <c r="R78" s="486"/>
    </row>
    <row r="79" spans="1:18" ht="20.100000000000001" customHeight="1" x14ac:dyDescent="0.2">
      <c r="B79" s="190"/>
      <c r="C79" s="461" t="s">
        <v>195</v>
      </c>
      <c r="D79" s="462"/>
      <c r="E79" s="130">
        <v>1</v>
      </c>
      <c r="F79" s="131">
        <v>1</v>
      </c>
      <c r="G79" s="131">
        <v>1</v>
      </c>
      <c r="H79" s="131">
        <f>IF('Subcases Monthly'!$D$4="","",VLOOKUP('Subcases Monthly'!$D$4,DataLookUp!$A$4:$AVY$70,733,FALSE))</f>
        <v>0</v>
      </c>
      <c r="I79" s="131">
        <f>IF('Subcases Monthly'!$D$4="","",VLOOKUP('Subcases Monthly'!$D$4,DataLookUp!$A$4:$AVY$70,734,FALSE))</f>
        <v>0</v>
      </c>
      <c r="J79" s="131">
        <f>IF('Subcases Monthly'!$D$4="","",VLOOKUP('Subcases Monthly'!$D$4,DataLookUp!$A$4:$AVY$70,735,FALSE))</f>
        <v>0</v>
      </c>
      <c r="K79" s="131">
        <f>IF('Subcases Monthly'!$D$4="","",VLOOKUP('Subcases Monthly'!$D$4,DataLookUp!$A$4:$AVY$70,736,FALSE))</f>
        <v>0</v>
      </c>
      <c r="L79" s="131">
        <f>IF('Subcases Monthly'!$D$4="","",VLOOKUP('Subcases Monthly'!$D$4,DataLookUp!$A$4:$AVY$70,737,FALSE))</f>
        <v>0</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39"/>
        <v>3</v>
      </c>
      <c r="R79" s="486"/>
    </row>
    <row r="80" spans="1:18" ht="20.100000000000001" customHeight="1" x14ac:dyDescent="0.2">
      <c r="B80" s="190"/>
      <c r="C80" s="461" t="s">
        <v>196</v>
      </c>
      <c r="D80" s="462"/>
      <c r="E80" s="127">
        <v>42</v>
      </c>
      <c r="F80" s="128">
        <v>45</v>
      </c>
      <c r="G80" s="128">
        <v>55</v>
      </c>
      <c r="H80" s="128">
        <v>64</v>
      </c>
      <c r="I80" s="128">
        <f>IF('Subcases Monthly'!$D$4="","",VLOOKUP('Subcases Monthly'!$D$4,DataLookUp!$A$4:$AVY$70,747,FALSE))</f>
        <v>0</v>
      </c>
      <c r="J80" s="128">
        <f>IF('Subcases Monthly'!$D$4="","",VLOOKUP('Subcases Monthly'!$D$4,DataLookUp!$A$4:$AVY$70,748,FALSE))</f>
        <v>0</v>
      </c>
      <c r="K80" s="128">
        <f>IF('Subcases Monthly'!$D$4="","",VLOOKUP('Subcases Monthly'!$D$4,DataLookUp!$A$4:$AVY$70,749,FALSE))</f>
        <v>0</v>
      </c>
      <c r="L80" s="128">
        <f>IF('Subcases Monthly'!$D$4="","",VLOOKUP('Subcases Monthly'!$D$4,DataLookUp!$A$4:$AVY$70,750,FALSE))</f>
        <v>0</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39"/>
        <v>206</v>
      </c>
      <c r="R80" s="486"/>
    </row>
    <row r="81" spans="1:18" ht="20.100000000000001" customHeight="1" x14ac:dyDescent="0.2">
      <c r="B81" s="190"/>
      <c r="C81" s="461" t="s">
        <v>197</v>
      </c>
      <c r="D81" s="462"/>
      <c r="E81" s="130">
        <v>16</v>
      </c>
      <c r="F81" s="131">
        <v>20</v>
      </c>
      <c r="G81" s="131">
        <v>16</v>
      </c>
      <c r="H81" s="131">
        <v>12</v>
      </c>
      <c r="I81" s="131">
        <f>IF('Subcases Monthly'!$D$4="","",VLOOKUP('Subcases Monthly'!$D$4,DataLookUp!$A$4:$AVY$70,760,FALSE))</f>
        <v>0</v>
      </c>
      <c r="J81" s="131">
        <f>IF('Subcases Monthly'!$D$4="","",VLOOKUP('Subcases Monthly'!$D$4,DataLookUp!$A$4:$AVY$70,761,FALSE))</f>
        <v>0</v>
      </c>
      <c r="K81" s="131">
        <f>IF('Subcases Monthly'!$D$4="","",VLOOKUP('Subcases Monthly'!$D$4,DataLookUp!$A$4:$AVY$70,762,FALSE))</f>
        <v>0</v>
      </c>
      <c r="L81" s="131">
        <f>IF('Subcases Monthly'!$D$4="","",VLOOKUP('Subcases Monthly'!$D$4,DataLookUp!$A$4:$AVY$70,763,FALSE))</f>
        <v>0</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39"/>
        <v>64</v>
      </c>
      <c r="R81" s="486"/>
    </row>
    <row r="82" spans="1:18" ht="20.100000000000001" customHeight="1" x14ac:dyDescent="0.2">
      <c r="B82" s="190"/>
      <c r="C82" s="461" t="s">
        <v>198</v>
      </c>
      <c r="D82" s="462"/>
      <c r="E82" s="127">
        <v>22</v>
      </c>
      <c r="F82" s="128">
        <v>9</v>
      </c>
      <c r="G82" s="128">
        <v>11</v>
      </c>
      <c r="H82" s="128">
        <v>12</v>
      </c>
      <c r="I82" s="128">
        <f>IF('Subcases Monthly'!$D$4="","",VLOOKUP('Subcases Monthly'!$D$4,DataLookUp!$A$4:$AVY$70,773,FALSE))</f>
        <v>0</v>
      </c>
      <c r="J82" s="128">
        <f>IF('Subcases Monthly'!$D$4="","",VLOOKUP('Subcases Monthly'!$D$4,DataLookUp!$A$4:$AVY$70,774,FALSE))</f>
        <v>0</v>
      </c>
      <c r="K82" s="128">
        <f>IF('Subcases Monthly'!$D$4="","",VLOOKUP('Subcases Monthly'!$D$4,DataLookUp!$A$4:$AVY$70,775,FALSE))</f>
        <v>0</v>
      </c>
      <c r="L82" s="128">
        <f>IF('Subcases Monthly'!$D$4="","",VLOOKUP('Subcases Monthly'!$D$4,DataLookUp!$A$4:$AVY$70,776,FALSE))</f>
        <v>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39"/>
        <v>54</v>
      </c>
      <c r="R82" s="486"/>
    </row>
    <row r="83" spans="1:18" ht="20.100000000000001" customHeight="1" x14ac:dyDescent="0.2">
      <c r="B83" s="197">
        <v>2</v>
      </c>
      <c r="C83" s="461" t="s">
        <v>391</v>
      </c>
      <c r="D83" s="462"/>
      <c r="E83" s="130">
        <v>0</v>
      </c>
      <c r="F83" s="131">
        <v>0</v>
      </c>
      <c r="G83" s="131">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86"/>
    </row>
    <row r="84" spans="1:18" ht="20.100000000000001" customHeight="1" x14ac:dyDescent="0.2">
      <c r="B84" s="190"/>
      <c r="C84" s="461" t="s">
        <v>300</v>
      </c>
      <c r="D84" s="462"/>
      <c r="E84" s="127">
        <v>3</v>
      </c>
      <c r="F84" s="128">
        <v>9</v>
      </c>
      <c r="G84" s="128">
        <v>2</v>
      </c>
      <c r="H84" s="128">
        <v>6</v>
      </c>
      <c r="I84" s="128">
        <f>IF('Subcases Monthly'!$D$4="","",VLOOKUP('Subcases Monthly'!$D$4,DataLookUp!$A$4:$AVY$70,799,FALSE))</f>
        <v>0</v>
      </c>
      <c r="J84" s="128">
        <f>IF('Subcases Monthly'!$D$4="","",VLOOKUP('Subcases Monthly'!$D$4,DataLookUp!$A$4:$AVY$70,800,FALSE))</f>
        <v>0</v>
      </c>
      <c r="K84" s="128">
        <f>IF('Subcases Monthly'!$D$4="","",VLOOKUP('Subcases Monthly'!$D$4,DataLookUp!$A$4:$AVY$70,801,FALSE))</f>
        <v>0</v>
      </c>
      <c r="L84" s="128">
        <f>IF('Subcases Monthly'!$D$4="","",VLOOKUP('Subcases Monthly'!$D$4,DataLookUp!$A$4:$AVY$70,802,FALSE))</f>
        <v>0</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39"/>
        <v>20</v>
      </c>
      <c r="R84" s="486"/>
    </row>
    <row r="85" spans="1:18" ht="20.100000000000001" customHeight="1" x14ac:dyDescent="0.2">
      <c r="B85" s="190"/>
      <c r="C85" s="461" t="s">
        <v>199</v>
      </c>
      <c r="D85" s="462"/>
      <c r="E85" s="130">
        <v>133</v>
      </c>
      <c r="F85" s="131">
        <v>136</v>
      </c>
      <c r="G85" s="131">
        <v>106</v>
      </c>
      <c r="H85" s="131">
        <v>150</v>
      </c>
      <c r="I85" s="131">
        <f>IF('Subcases Monthly'!$D$4="","",VLOOKUP('Subcases Monthly'!$D$4,DataLookUp!$A$4:$AVY$70,812,FALSE))</f>
        <v>0</v>
      </c>
      <c r="J85" s="131">
        <f>IF('Subcases Monthly'!$D$4="","",VLOOKUP('Subcases Monthly'!$D$4,DataLookUp!$A$4:$AVY$70,813,FALSE))</f>
        <v>0</v>
      </c>
      <c r="K85" s="131">
        <f>IF('Subcases Monthly'!$D$4="","",VLOOKUP('Subcases Monthly'!$D$4,DataLookUp!$A$4:$AVY$70,814,FALSE))</f>
        <v>0</v>
      </c>
      <c r="L85" s="131">
        <f>IF('Subcases Monthly'!$D$4="","",VLOOKUP('Subcases Monthly'!$D$4,DataLookUp!$A$4:$AVY$70,815,FALSE))</f>
        <v>0</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39"/>
        <v>525</v>
      </c>
      <c r="R85" s="486"/>
    </row>
    <row r="86" spans="1:18" ht="20.100000000000001" customHeight="1" x14ac:dyDescent="0.2">
      <c r="B86" s="190"/>
      <c r="C86" s="461" t="s">
        <v>200</v>
      </c>
      <c r="D86" s="462"/>
      <c r="E86" s="127">
        <v>124</v>
      </c>
      <c r="F86" s="128">
        <v>128</v>
      </c>
      <c r="G86" s="128">
        <v>145</v>
      </c>
      <c r="H86" s="128">
        <v>120</v>
      </c>
      <c r="I86" s="128">
        <f>IF('Subcases Monthly'!$D$4="","",VLOOKUP('Subcases Monthly'!$D$4,DataLookUp!$A$4:$AVY$70,825,FALSE))</f>
        <v>0</v>
      </c>
      <c r="J86" s="128">
        <f>IF('Subcases Monthly'!$D$4="","",VLOOKUP('Subcases Monthly'!$D$4,DataLookUp!$A$4:$AVY$70,826,FALSE))</f>
        <v>0</v>
      </c>
      <c r="K86" s="128">
        <f>IF('Subcases Monthly'!$D$4="","",VLOOKUP('Subcases Monthly'!$D$4,DataLookUp!$A$4:$AVY$70,827,FALSE))</f>
        <v>0</v>
      </c>
      <c r="L86" s="128">
        <f>IF('Subcases Monthly'!$D$4="","",VLOOKUP('Subcases Monthly'!$D$4,DataLookUp!$A$4:$AVY$70,828,FALSE))</f>
        <v>0</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39"/>
        <v>517</v>
      </c>
      <c r="R86" s="486"/>
    </row>
    <row r="87" spans="1:18" ht="20.100000000000001" customHeight="1" x14ac:dyDescent="0.2">
      <c r="B87" s="190"/>
      <c r="C87" s="461" t="s">
        <v>201</v>
      </c>
      <c r="D87" s="462"/>
      <c r="E87" s="130">
        <v>35</v>
      </c>
      <c r="F87" s="131">
        <v>38</v>
      </c>
      <c r="G87" s="131">
        <v>31</v>
      </c>
      <c r="H87" s="131">
        <v>45</v>
      </c>
      <c r="I87" s="131">
        <f>IF('Subcases Monthly'!$D$4="","",VLOOKUP('Subcases Monthly'!$D$4,DataLookUp!$A$4:$AVY$70,838,FALSE))</f>
        <v>0</v>
      </c>
      <c r="J87" s="131">
        <f>IF('Subcases Monthly'!$D$4="","",VLOOKUP('Subcases Monthly'!$D$4,DataLookUp!$A$4:$AVY$70,839,FALSE))</f>
        <v>0</v>
      </c>
      <c r="K87" s="131">
        <f>IF('Subcases Monthly'!$D$4="","",VLOOKUP('Subcases Monthly'!$D$4,DataLookUp!$A$4:$AVY$70,840,FALSE))</f>
        <v>0</v>
      </c>
      <c r="L87" s="131">
        <f>IF('Subcases Monthly'!$D$4="","",VLOOKUP('Subcases Monthly'!$D$4,DataLookUp!$A$4:$AVY$70,841,FALSE))</f>
        <v>0</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39"/>
        <v>149</v>
      </c>
      <c r="R87" s="486"/>
    </row>
    <row r="88" spans="1:18" ht="20.100000000000001" customHeight="1" x14ac:dyDescent="0.2">
      <c r="B88" s="190"/>
      <c r="C88" s="461" t="s">
        <v>202</v>
      </c>
      <c r="D88" s="462"/>
      <c r="E88" s="127">
        <f>IF('Subcases Monthly'!$D$4="","",VLOOKUP('Subcases Monthly'!$D$4,DataLookUp!$A$4:$AVY$70,847,FALSE))</f>
        <v>0</v>
      </c>
      <c r="F88" s="128">
        <v>1</v>
      </c>
      <c r="G88" s="128">
        <v>1</v>
      </c>
      <c r="H88" s="128">
        <v>2</v>
      </c>
      <c r="I88" s="128">
        <f>IF('Subcases Monthly'!$D$4="","",VLOOKUP('Subcases Monthly'!$D$4,DataLookUp!$A$4:$AVY$70,851,FALSE))</f>
        <v>0</v>
      </c>
      <c r="J88" s="128">
        <f>IF('Subcases Monthly'!$D$4="","",VLOOKUP('Subcases Monthly'!$D$4,DataLookUp!$A$4:$AVY$70,852,FALSE))</f>
        <v>0</v>
      </c>
      <c r="K88" s="128">
        <f>IF('Subcases Monthly'!$D$4="","",VLOOKUP('Subcases Monthly'!$D$4,DataLookUp!$A$4:$AVY$70,853,FALSE))</f>
        <v>0</v>
      </c>
      <c r="L88" s="128">
        <f>IF('Subcases Monthly'!$D$4="","",VLOOKUP('Subcases Monthly'!$D$4,DataLookUp!$A$4:$AVY$70,854,FALSE))</f>
        <v>0</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39"/>
        <v>4</v>
      </c>
      <c r="R88" s="486"/>
    </row>
    <row r="89" spans="1:18" ht="20.100000000000001" customHeight="1" x14ac:dyDescent="0.2">
      <c r="B89" s="190"/>
      <c r="C89" s="461" t="s">
        <v>203</v>
      </c>
      <c r="D89" s="462"/>
      <c r="E89" s="130">
        <v>6</v>
      </c>
      <c r="F89" s="131">
        <v>7</v>
      </c>
      <c r="G89" s="131">
        <v>2</v>
      </c>
      <c r="H89" s="131">
        <v>1</v>
      </c>
      <c r="I89" s="131">
        <f>IF('Subcases Monthly'!$D$4="","",VLOOKUP('Subcases Monthly'!$D$4,DataLookUp!$A$4:$AVY$70,864,FALSE))</f>
        <v>0</v>
      </c>
      <c r="J89" s="131">
        <f>IF('Subcases Monthly'!$D$4="","",VLOOKUP('Subcases Monthly'!$D$4,DataLookUp!$A$4:$AVY$70,865,FALSE))</f>
        <v>0</v>
      </c>
      <c r="K89" s="131">
        <f>IF('Subcases Monthly'!$D$4="","",VLOOKUP('Subcases Monthly'!$D$4,DataLookUp!$A$4:$AVY$70,866,FALSE))</f>
        <v>0</v>
      </c>
      <c r="L89" s="131">
        <f>IF('Subcases Monthly'!$D$4="","",VLOOKUP('Subcases Monthly'!$D$4,DataLookUp!$A$4:$AVY$70,867,FALSE))</f>
        <v>0</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39"/>
        <v>16</v>
      </c>
      <c r="R89" s="486"/>
    </row>
    <row r="90" spans="1:18" ht="20.100000000000001" customHeight="1" x14ac:dyDescent="0.2">
      <c r="B90" s="190"/>
      <c r="C90" s="461" t="s">
        <v>204</v>
      </c>
      <c r="D90" s="462"/>
      <c r="E90" s="127">
        <f>IF('Subcases Monthly'!$D$4="","",VLOOKUP('Subcases Monthly'!$D$4,DataLookUp!$A$4:$AVY$70,873,FALSE))</f>
        <v>0</v>
      </c>
      <c r="F90" s="128">
        <v>0</v>
      </c>
      <c r="G90" s="128">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86"/>
    </row>
    <row r="91" spans="1:18" ht="20.100000000000001" customHeight="1" x14ac:dyDescent="0.2">
      <c r="B91" s="190"/>
      <c r="C91" s="461" t="s">
        <v>205</v>
      </c>
      <c r="D91" s="462"/>
      <c r="E91" s="130">
        <f>IF('Subcases Monthly'!$D$4="","",VLOOKUP('Subcases Monthly'!$D$4,DataLookUp!$A$4:$AVY$70,886,FALSE))</f>
        <v>0</v>
      </c>
      <c r="F91" s="131">
        <v>0</v>
      </c>
      <c r="G91" s="131">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86"/>
    </row>
    <row r="92" spans="1:18" ht="20.100000000000001" customHeight="1" x14ac:dyDescent="0.2">
      <c r="B92" s="190"/>
      <c r="C92" s="461" t="s">
        <v>388</v>
      </c>
      <c r="D92" s="462"/>
      <c r="E92" s="127">
        <f>IF('Subcases Monthly'!$D$4="","",VLOOKUP('Subcases Monthly'!$D$4,DataLookUp!$A$4:$AVY$70,899,FALSE))</f>
        <v>0</v>
      </c>
      <c r="F92" s="128">
        <v>1</v>
      </c>
      <c r="G92" s="128">
        <v>0</v>
      </c>
      <c r="H92" s="128">
        <f>IF('Subcases Monthly'!$D$4="","",VLOOKUP('Subcases Monthly'!$D$4,DataLookUp!$A$4:$AVY$70,902,FALSE))</f>
        <v>0</v>
      </c>
      <c r="I92" s="128">
        <f>IF('Subcases Monthly'!$D$4="","",VLOOKUP('Subcases Monthly'!$D$4,DataLookUp!$A$4:$AVY$70,903,FALSE))</f>
        <v>0</v>
      </c>
      <c r="J92" s="128">
        <f>IF('Subcases Monthly'!$D$4="","",VLOOKUP('Subcases Monthly'!$D$4,DataLookUp!$A$4:$AVY$70,904,FALSE))</f>
        <v>0</v>
      </c>
      <c r="K92" s="128">
        <f>IF('Subcases Monthly'!$D$4="","",VLOOKUP('Subcases Monthly'!$D$4,DataLookUp!$A$4:$AVY$70,905,FALSE))</f>
        <v>0</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39"/>
        <v>1</v>
      </c>
      <c r="R92" s="486"/>
    </row>
    <row r="93" spans="1:18" ht="20.100000000000001" customHeight="1" thickBot="1" x14ac:dyDescent="0.25">
      <c r="B93" s="199">
        <v>1</v>
      </c>
      <c r="C93" s="469" t="s">
        <v>157</v>
      </c>
      <c r="D93" s="470"/>
      <c r="E93" s="220">
        <f>IF('Subcases Monthly'!$D$4="","",VLOOKUP('Subcases Monthly'!$D$4,DataLookUp!$A$4:$AVY$70,912,FALSE))</f>
        <v>0</v>
      </c>
      <c r="F93" s="221">
        <v>0</v>
      </c>
      <c r="G93" s="221">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87"/>
    </row>
    <row r="94" spans="1:18" s="13" customFormat="1" ht="20.100000000000001" customHeight="1" thickTop="1" thickBot="1" x14ac:dyDescent="0.25">
      <c r="B94" s="192"/>
      <c r="C94" s="471" t="s">
        <v>394</v>
      </c>
      <c r="D94" s="472"/>
      <c r="E94" s="211">
        <f t="shared" ref="E94:P94" si="40">SUM(E77:E93)</f>
        <v>605</v>
      </c>
      <c r="F94" s="212">
        <f t="shared" si="40"/>
        <v>591</v>
      </c>
      <c r="G94" s="212">
        <f t="shared" si="40"/>
        <v>560</v>
      </c>
      <c r="H94" s="212">
        <f t="shared" si="40"/>
        <v>639</v>
      </c>
      <c r="I94" s="212">
        <f t="shared" si="40"/>
        <v>0</v>
      </c>
      <c r="J94" s="212">
        <f t="shared" si="40"/>
        <v>0</v>
      </c>
      <c r="K94" s="212">
        <f t="shared" si="40"/>
        <v>0</v>
      </c>
      <c r="L94" s="212">
        <f t="shared" si="40"/>
        <v>0</v>
      </c>
      <c r="M94" s="212">
        <f t="shared" si="40"/>
        <v>0</v>
      </c>
      <c r="N94" s="212">
        <f t="shared" si="40"/>
        <v>0</v>
      </c>
      <c r="O94" s="212">
        <f t="shared" si="40"/>
        <v>0</v>
      </c>
      <c r="P94" s="213">
        <f t="shared" si="40"/>
        <v>0</v>
      </c>
      <c r="Q94" s="140">
        <f t="shared" si="39"/>
        <v>2395</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4" t="s">
        <v>206</v>
      </c>
      <c r="D97" s="475"/>
      <c r="E97" s="124">
        <v>23</v>
      </c>
      <c r="F97" s="125">
        <v>21</v>
      </c>
      <c r="G97" s="125">
        <v>18</v>
      </c>
      <c r="H97" s="125">
        <v>23</v>
      </c>
      <c r="I97" s="125">
        <f>IF('Subcases Monthly'!$D$4="","",VLOOKUP('Subcases Monthly'!$D$4,DataLookUp!$A$4:$AVY$70,942,FALSE))</f>
        <v>0</v>
      </c>
      <c r="J97" s="125">
        <f>IF('Subcases Monthly'!$D$4="","",VLOOKUP('Subcases Monthly'!$D$4,DataLookUp!$A$4:$AVY$70,943,FALSE))</f>
        <v>0</v>
      </c>
      <c r="K97" s="125">
        <f>IF('Subcases Monthly'!$D$4="","",VLOOKUP('Subcases Monthly'!$D$4,DataLookUp!$A$4:$AVY$70,944,FALSE))</f>
        <v>0</v>
      </c>
      <c r="L97" s="125">
        <f>IF('Subcases Monthly'!$D$4="","",VLOOKUP('Subcases Monthly'!$D$4,DataLookUp!$A$4:$AVY$70,945,FALSE))</f>
        <v>0</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42">SUM(E97:P97)</f>
        <v>85</v>
      </c>
      <c r="R97" s="485">
        <f>IF('Subcases Monthly'!$D$4="","",VLOOKUP('Subcases Monthly'!$D$4,DataLookUp!$A$4:$AVY$70,1271,FALSE))</f>
        <v>0</v>
      </c>
    </row>
    <row r="98" spans="1:18" ht="20.100000000000001" customHeight="1" x14ac:dyDescent="0.2">
      <c r="A98" s="8"/>
      <c r="B98" s="190"/>
      <c r="C98" s="461" t="s">
        <v>207</v>
      </c>
      <c r="D98" s="462"/>
      <c r="E98" s="127">
        <v>156</v>
      </c>
      <c r="F98" s="128">
        <v>131</v>
      </c>
      <c r="G98" s="128">
        <v>120</v>
      </c>
      <c r="H98" s="128">
        <v>146</v>
      </c>
      <c r="I98" s="128">
        <f>IF('Subcases Monthly'!$D$4="","",VLOOKUP('Subcases Monthly'!$D$4,DataLookUp!$A$4:$AVY$70,955,FALSE))</f>
        <v>0</v>
      </c>
      <c r="J98" s="128">
        <f>IF('Subcases Monthly'!$D$4="","",VLOOKUP('Subcases Monthly'!$D$4,DataLookUp!$A$4:$AVY$70,956,FALSE))</f>
        <v>0</v>
      </c>
      <c r="K98" s="128">
        <f>IF('Subcases Monthly'!$D$4="","",VLOOKUP('Subcases Monthly'!$D$4,DataLookUp!$A$4:$AVY$70,957,FALSE))</f>
        <v>0</v>
      </c>
      <c r="L98" s="128">
        <f>IF('Subcases Monthly'!$D$4="","",VLOOKUP('Subcases Monthly'!$D$4,DataLookUp!$A$4:$AVY$70,958,FALSE))</f>
        <v>0</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42"/>
        <v>553</v>
      </c>
      <c r="R98" s="486"/>
    </row>
    <row r="99" spans="1:18" ht="20.100000000000001" customHeight="1" x14ac:dyDescent="0.2">
      <c r="A99" s="8"/>
      <c r="B99" s="190"/>
      <c r="C99" s="461" t="s">
        <v>208</v>
      </c>
      <c r="D99" s="462"/>
      <c r="E99" s="130">
        <v>175</v>
      </c>
      <c r="F99" s="131">
        <v>146</v>
      </c>
      <c r="G99" s="131">
        <v>136</v>
      </c>
      <c r="H99" s="131">
        <v>149</v>
      </c>
      <c r="I99" s="131">
        <f>IF('Subcases Monthly'!$D$4="","",VLOOKUP('Subcases Monthly'!$D$4,DataLookUp!$A$4:$AVY$70,968,FALSE))</f>
        <v>0</v>
      </c>
      <c r="J99" s="131">
        <f>IF('Subcases Monthly'!$D$4="","",VLOOKUP('Subcases Monthly'!$D$4,DataLookUp!$A$4:$AVY$70,969,FALSE))</f>
        <v>0</v>
      </c>
      <c r="K99" s="131">
        <f>IF('Subcases Monthly'!$D$4="","",VLOOKUP('Subcases Monthly'!$D$4,DataLookUp!$A$4:$AVY$70,970,FALSE))</f>
        <v>0</v>
      </c>
      <c r="L99" s="131">
        <f>IF('Subcases Monthly'!$D$4="","",VLOOKUP('Subcases Monthly'!$D$4,DataLookUp!$A$4:$AVY$70,971,FALSE))</f>
        <v>0</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42"/>
        <v>606</v>
      </c>
      <c r="R99" s="486"/>
    </row>
    <row r="100" spans="1:18" ht="20.100000000000001" customHeight="1" x14ac:dyDescent="0.2">
      <c r="A100" s="8"/>
      <c r="B100" s="190"/>
      <c r="C100" s="461" t="s">
        <v>209</v>
      </c>
      <c r="D100" s="462"/>
      <c r="E100" s="127">
        <v>11</v>
      </c>
      <c r="F100" s="128">
        <v>9</v>
      </c>
      <c r="G100" s="128">
        <v>8</v>
      </c>
      <c r="H100" s="128">
        <v>5</v>
      </c>
      <c r="I100" s="128">
        <f>IF('Subcases Monthly'!$D$4="","",VLOOKUP('Subcases Monthly'!$D$4,DataLookUp!$A$4:$AVY$70,981,FALSE))</f>
        <v>0</v>
      </c>
      <c r="J100" s="128">
        <f>IF('Subcases Monthly'!$D$4="","",VLOOKUP('Subcases Monthly'!$D$4,DataLookUp!$A$4:$AVY$70,982,FALSE))</f>
        <v>0</v>
      </c>
      <c r="K100" s="128">
        <f>IF('Subcases Monthly'!$D$4="","",VLOOKUP('Subcases Monthly'!$D$4,DataLookUp!$A$4:$AVY$70,983,FALSE))</f>
        <v>0</v>
      </c>
      <c r="L100" s="128">
        <f>IF('Subcases Monthly'!$D$4="","",VLOOKUP('Subcases Monthly'!$D$4,DataLookUp!$A$4:$AVY$70,984,FALSE))</f>
        <v>0</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42"/>
        <v>33</v>
      </c>
      <c r="R100" s="486"/>
    </row>
    <row r="101" spans="1:18" ht="20.100000000000001" customHeight="1" x14ac:dyDescent="0.2">
      <c r="A101" s="8"/>
      <c r="B101" s="190"/>
      <c r="C101" s="461" t="s">
        <v>210</v>
      </c>
      <c r="D101" s="462"/>
      <c r="E101" s="130">
        <v>1</v>
      </c>
      <c r="F101" s="131">
        <v>1</v>
      </c>
      <c r="G101" s="131">
        <v>1</v>
      </c>
      <c r="H101" s="131">
        <v>1</v>
      </c>
      <c r="I101" s="131">
        <f>IF('Subcases Monthly'!$D$4="","",VLOOKUP('Subcases Monthly'!$D$4,DataLookUp!$A$4:$AVY$70,994,FALSE))</f>
        <v>0</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42"/>
        <v>4</v>
      </c>
      <c r="R101" s="486"/>
    </row>
    <row r="102" spans="1:18" ht="20.100000000000001" customHeight="1" x14ac:dyDescent="0.2">
      <c r="A102" s="8"/>
      <c r="B102" s="190"/>
      <c r="C102" s="461" t="s">
        <v>211</v>
      </c>
      <c r="D102" s="462"/>
      <c r="E102" s="127">
        <v>15</v>
      </c>
      <c r="F102" s="128">
        <v>12</v>
      </c>
      <c r="G102" s="128">
        <v>11</v>
      </c>
      <c r="H102" s="128">
        <v>17</v>
      </c>
      <c r="I102" s="128">
        <f>IF('Subcases Monthly'!$D$4="","",VLOOKUP('Subcases Monthly'!$D$4,DataLookUp!$A$4:$AVY$70,1007,FALSE))</f>
        <v>0</v>
      </c>
      <c r="J102" s="128">
        <f>IF('Subcases Monthly'!$D$4="","",VLOOKUP('Subcases Monthly'!$D$4,DataLookUp!$A$4:$AVY$70,1008,FALSE))</f>
        <v>0</v>
      </c>
      <c r="K102" s="128">
        <f>IF('Subcases Monthly'!$D$4="","",VLOOKUP('Subcases Monthly'!$D$4,DataLookUp!$A$4:$AVY$70,1009,FALSE))</f>
        <v>0</v>
      </c>
      <c r="L102" s="128">
        <f>IF('Subcases Monthly'!$D$4="","",VLOOKUP('Subcases Monthly'!$D$4,DataLookUp!$A$4:$AVY$70,1010,FALSE))</f>
        <v>0</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42"/>
        <v>55</v>
      </c>
      <c r="R102" s="486"/>
    </row>
    <row r="103" spans="1:18" ht="20.100000000000001" customHeight="1" x14ac:dyDescent="0.2">
      <c r="A103" s="8"/>
      <c r="B103" s="190"/>
      <c r="C103" s="461" t="s">
        <v>212</v>
      </c>
      <c r="D103" s="462"/>
      <c r="E103" s="130">
        <v>15</v>
      </c>
      <c r="F103" s="131">
        <v>22</v>
      </c>
      <c r="G103" s="131">
        <v>12</v>
      </c>
      <c r="H103" s="131">
        <v>23</v>
      </c>
      <c r="I103" s="131">
        <f>IF('Subcases Monthly'!$D$4="","",VLOOKUP('Subcases Monthly'!$D$4,DataLookUp!$A$4:$AVY$70,1020,FALSE))</f>
        <v>0</v>
      </c>
      <c r="J103" s="131">
        <f>IF('Subcases Monthly'!$D$4="","",VLOOKUP('Subcases Monthly'!$D$4,DataLookUp!$A$4:$AVY$70,1021,FALSE))</f>
        <v>0</v>
      </c>
      <c r="K103" s="131">
        <f>IF('Subcases Monthly'!$D$4="","",VLOOKUP('Subcases Monthly'!$D$4,DataLookUp!$A$4:$AVY$70,1022,FALSE))</f>
        <v>0</v>
      </c>
      <c r="L103" s="131">
        <f>IF('Subcases Monthly'!$D$4="","",VLOOKUP('Subcases Monthly'!$D$4,DataLookUp!$A$4:$AVY$70,1023,FALSE))</f>
        <v>0</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42"/>
        <v>72</v>
      </c>
      <c r="R103" s="486"/>
    </row>
    <row r="104" spans="1:18" ht="20.100000000000001" customHeight="1" x14ac:dyDescent="0.2">
      <c r="A104" s="8"/>
      <c r="B104" s="190"/>
      <c r="C104" s="461" t="s">
        <v>213</v>
      </c>
      <c r="D104" s="462"/>
      <c r="E104" s="127">
        <v>20</v>
      </c>
      <c r="F104" s="128">
        <v>19</v>
      </c>
      <c r="G104" s="128">
        <v>19</v>
      </c>
      <c r="H104" s="128">
        <v>38</v>
      </c>
      <c r="I104" s="128">
        <f>IF('Subcases Monthly'!$D$4="","",VLOOKUP('Subcases Monthly'!$D$4,DataLookUp!$A$4:$AVY$70,1033,FALSE))</f>
        <v>0</v>
      </c>
      <c r="J104" s="128">
        <f>IF('Subcases Monthly'!$D$4="","",VLOOKUP('Subcases Monthly'!$D$4,DataLookUp!$A$4:$AVY$70,1034,FALSE))</f>
        <v>0</v>
      </c>
      <c r="K104" s="128">
        <f>IF('Subcases Monthly'!$D$4="","",VLOOKUP('Subcases Monthly'!$D$4,DataLookUp!$A$4:$AVY$70,1035,FALSE))</f>
        <v>0</v>
      </c>
      <c r="L104" s="128">
        <f>IF('Subcases Monthly'!$D$4="","",VLOOKUP('Subcases Monthly'!$D$4,DataLookUp!$A$4:$AVY$70,1036,FALSE))</f>
        <v>0</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42"/>
        <v>96</v>
      </c>
      <c r="R104" s="486"/>
    </row>
    <row r="105" spans="1:18" ht="20.100000000000001" customHeight="1" x14ac:dyDescent="0.2">
      <c r="A105" s="8"/>
      <c r="B105" s="190"/>
      <c r="C105" s="461" t="s">
        <v>214</v>
      </c>
      <c r="D105" s="462"/>
      <c r="E105" s="130">
        <v>21</v>
      </c>
      <c r="F105" s="131">
        <v>18</v>
      </c>
      <c r="G105" s="131">
        <v>32</v>
      </c>
      <c r="H105" s="131">
        <v>35</v>
      </c>
      <c r="I105" s="131">
        <f>IF('Subcases Monthly'!$D$4="","",VLOOKUP('Subcases Monthly'!$D$4,DataLookUp!$A$4:$AVY$70,1046,FALSE))</f>
        <v>0</v>
      </c>
      <c r="J105" s="131">
        <f>IF('Subcases Monthly'!$D$4="","",VLOOKUP('Subcases Monthly'!$D$4,DataLookUp!$A$4:$AVY$70,1047,FALSE))</f>
        <v>0</v>
      </c>
      <c r="K105" s="131">
        <f>IF('Subcases Monthly'!$D$4="","",VLOOKUP('Subcases Monthly'!$D$4,DataLookUp!$A$4:$AVY$70,1048,FALSE))</f>
        <v>0</v>
      </c>
      <c r="L105" s="131">
        <f>IF('Subcases Monthly'!$D$4="","",VLOOKUP('Subcases Monthly'!$D$4,DataLookUp!$A$4:$AVY$70,1049,FALSE))</f>
        <v>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42"/>
        <v>106</v>
      </c>
      <c r="R105" s="486"/>
    </row>
    <row r="106" spans="1:18" ht="20.100000000000001" customHeight="1" x14ac:dyDescent="0.2">
      <c r="A106" s="8"/>
      <c r="B106" s="190"/>
      <c r="C106" s="461" t="s">
        <v>215</v>
      </c>
      <c r="D106" s="462"/>
      <c r="E106" s="127">
        <v>21</v>
      </c>
      <c r="F106" s="128">
        <v>31</v>
      </c>
      <c r="G106" s="128">
        <v>58</v>
      </c>
      <c r="H106" s="128">
        <v>47</v>
      </c>
      <c r="I106" s="128">
        <f>IF('Subcases Monthly'!$D$4="","",VLOOKUP('Subcases Monthly'!$D$4,DataLookUp!$A$4:$AVY$70,1059,FALSE))</f>
        <v>0</v>
      </c>
      <c r="J106" s="128">
        <f>IF('Subcases Monthly'!$D$4="","",VLOOKUP('Subcases Monthly'!$D$4,DataLookUp!$A$4:$AVY$70,1060,FALSE))</f>
        <v>0</v>
      </c>
      <c r="K106" s="128">
        <f>IF('Subcases Monthly'!$D$4="","",VLOOKUP('Subcases Monthly'!$D$4,DataLookUp!$A$4:$AVY$70,1061,FALSE))</f>
        <v>0</v>
      </c>
      <c r="L106" s="128">
        <f>IF('Subcases Monthly'!$D$4="","",VLOOKUP('Subcases Monthly'!$D$4,DataLookUp!$A$4:$AVY$70,1062,FALSE))</f>
        <v>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42"/>
        <v>157</v>
      </c>
      <c r="R106" s="486"/>
    </row>
    <row r="107" spans="1:18" ht="20.100000000000001" customHeight="1" thickBot="1" x14ac:dyDescent="0.25">
      <c r="A107" s="8"/>
      <c r="B107" s="199">
        <v>1</v>
      </c>
      <c r="C107" s="469" t="s">
        <v>157</v>
      </c>
      <c r="D107" s="470"/>
      <c r="E107" s="241">
        <f>IF('Subcases Monthly'!$D$4="","",VLOOKUP('Subcases Monthly'!$D$4,DataLookUp!$A$4:$AVY$70,1068,FALSE))</f>
        <v>0</v>
      </c>
      <c r="F107" s="242">
        <v>0</v>
      </c>
      <c r="G107" s="242">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87"/>
    </row>
    <row r="108" spans="1:18" ht="20.100000000000001" customHeight="1" thickTop="1" thickBot="1" x14ac:dyDescent="0.25">
      <c r="A108" s="8"/>
      <c r="B108" s="192"/>
      <c r="C108" s="471" t="s">
        <v>395</v>
      </c>
      <c r="D108" s="472"/>
      <c r="E108" s="244">
        <f>SUM(E97:E107)</f>
        <v>458</v>
      </c>
      <c r="F108" s="245">
        <f t="shared" ref="F108:P108" si="43">SUM(F97:F107)</f>
        <v>410</v>
      </c>
      <c r="G108" s="245">
        <f t="shared" si="43"/>
        <v>415</v>
      </c>
      <c r="H108" s="245">
        <f t="shared" si="43"/>
        <v>484</v>
      </c>
      <c r="I108" s="245">
        <f t="shared" si="43"/>
        <v>0</v>
      </c>
      <c r="J108" s="245">
        <f t="shared" si="43"/>
        <v>0</v>
      </c>
      <c r="K108" s="245">
        <f t="shared" si="43"/>
        <v>0</v>
      </c>
      <c r="L108" s="245">
        <f t="shared" si="43"/>
        <v>0</v>
      </c>
      <c r="M108" s="245">
        <f t="shared" si="43"/>
        <v>0</v>
      </c>
      <c r="N108" s="245">
        <f t="shared" si="43"/>
        <v>0</v>
      </c>
      <c r="O108" s="245">
        <f t="shared" si="43"/>
        <v>0</v>
      </c>
      <c r="P108" s="246">
        <f t="shared" si="43"/>
        <v>0</v>
      </c>
      <c r="Q108" s="146">
        <f t="shared" si="42"/>
        <v>1767</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4" t="s">
        <v>216</v>
      </c>
      <c r="D111" s="475"/>
      <c r="E111" s="124">
        <v>15</v>
      </c>
      <c r="F111" s="125">
        <v>18</v>
      </c>
      <c r="G111" s="125">
        <v>20</v>
      </c>
      <c r="H111" s="125">
        <v>10</v>
      </c>
      <c r="I111" s="125">
        <f>IF('Subcases Monthly'!$D$4="","",VLOOKUP('Subcases Monthly'!$D$4,DataLookUp!$A$4:$AVY$70,1098,FALSE))</f>
        <v>0</v>
      </c>
      <c r="J111" s="125">
        <f>IF('Subcases Monthly'!$D$4="","",VLOOKUP('Subcases Monthly'!$D$4,DataLookUp!$A$4:$AVY$70,1099,FALSE))</f>
        <v>0</v>
      </c>
      <c r="K111" s="125">
        <f>IF('Subcases Monthly'!$D$4="","",VLOOKUP('Subcases Monthly'!$D$4,DataLookUp!$A$4:$AVY$70,1100,FALSE))</f>
        <v>0</v>
      </c>
      <c r="L111" s="125">
        <f>IF('Subcases Monthly'!$D$4="","",VLOOKUP('Subcases Monthly'!$D$4,DataLookUp!$A$4:$AVY$70,1101,FALSE))</f>
        <v>0</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45">SUM(E111:P111)</f>
        <v>63</v>
      </c>
      <c r="R111" s="485">
        <f>IF('Subcases Monthly'!$D$4="","",VLOOKUP('Subcases Monthly'!$D$4,DataLookUp!$A$4:$AVY$70,1272,FALSE))</f>
        <v>0</v>
      </c>
    </row>
    <row r="112" spans="1:18" ht="20.100000000000001" customHeight="1" x14ac:dyDescent="0.2">
      <c r="B112" s="190"/>
      <c r="C112" s="461" t="s">
        <v>217</v>
      </c>
      <c r="D112" s="462"/>
      <c r="E112" s="127">
        <f>IF('Subcases Monthly'!$D$4="","",VLOOKUP('Subcases Monthly'!$D$4,DataLookUp!$A$4:$AVY$70,1107,FALSE))</f>
        <v>0</v>
      </c>
      <c r="F112" s="128">
        <v>0</v>
      </c>
      <c r="G112" s="128">
        <v>1</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45"/>
        <v>1</v>
      </c>
      <c r="R112" s="486"/>
    </row>
    <row r="113" spans="2:18" ht="20.100000000000001" customHeight="1" x14ac:dyDescent="0.2">
      <c r="B113" s="190"/>
      <c r="C113" s="461" t="s">
        <v>218</v>
      </c>
      <c r="D113" s="462"/>
      <c r="E113" s="130">
        <f>IF('Subcases Monthly'!$D$4="","",VLOOKUP('Subcases Monthly'!$D$4,DataLookUp!$A$4:$AVY$70,1120,FALSE))</f>
        <v>0</v>
      </c>
      <c r="F113" s="131">
        <v>0</v>
      </c>
      <c r="G113" s="131">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45"/>
        <v>0</v>
      </c>
      <c r="R113" s="486"/>
    </row>
    <row r="114" spans="2:18" ht="20.100000000000001" customHeight="1" x14ac:dyDescent="0.2">
      <c r="B114" s="190"/>
      <c r="C114" s="461" t="s">
        <v>219</v>
      </c>
      <c r="D114" s="462"/>
      <c r="E114" s="127">
        <f>IF('Subcases Monthly'!$D$4="","",VLOOKUP('Subcases Monthly'!$D$4,DataLookUp!$A$4:$AVY$70,1133,FALSE))</f>
        <v>0</v>
      </c>
      <c r="F114" s="128">
        <v>0</v>
      </c>
      <c r="G114" s="128">
        <v>0</v>
      </c>
      <c r="H114" s="128">
        <f>IF('Subcases Monthly'!$D$4="","",VLOOKUP('Subcases Monthly'!$D$4,DataLookUp!$A$4:$AVY$70,1136,FALSE))</f>
        <v>0</v>
      </c>
      <c r="I114" s="128">
        <f>IF('Subcases Monthly'!$D$4="","",VLOOKUP('Subcases Monthly'!$D$4,DataLookUp!$A$4:$AVY$70,1137,FALSE))</f>
        <v>0</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0</v>
      </c>
      <c r="R114" s="486"/>
    </row>
    <row r="115" spans="2:18" ht="20.100000000000001" customHeight="1" x14ac:dyDescent="0.2">
      <c r="B115" s="190"/>
      <c r="C115" s="461" t="s">
        <v>220</v>
      </c>
      <c r="D115" s="462"/>
      <c r="E115" s="130">
        <v>3</v>
      </c>
      <c r="F115" s="131">
        <v>2</v>
      </c>
      <c r="G115" s="131">
        <v>1</v>
      </c>
      <c r="H115" s="131">
        <v>2</v>
      </c>
      <c r="I115" s="131">
        <f>IF('Subcases Monthly'!$D$4="","",VLOOKUP('Subcases Monthly'!$D$4,DataLookUp!$A$4:$AVY$70,1150,FALSE))</f>
        <v>0</v>
      </c>
      <c r="J115" s="131">
        <f>IF('Subcases Monthly'!$D$4="","",VLOOKUP('Subcases Monthly'!$D$4,DataLookUp!$A$4:$AVY$70,1151,FALSE))</f>
        <v>0</v>
      </c>
      <c r="K115" s="131">
        <f>IF('Subcases Monthly'!$D$4="","",VLOOKUP('Subcases Monthly'!$D$4,DataLookUp!$A$4:$AVY$70,1152,FALSE))</f>
        <v>0</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45"/>
        <v>8</v>
      </c>
      <c r="R115" s="486"/>
    </row>
    <row r="116" spans="2:18" ht="20.100000000000001" customHeight="1" x14ac:dyDescent="0.2">
      <c r="B116" s="190"/>
      <c r="C116" s="461" t="s">
        <v>164</v>
      </c>
      <c r="D116" s="462"/>
      <c r="E116" s="127">
        <f>IF('Subcases Monthly'!$D$4="","",VLOOKUP('Subcases Monthly'!$D$4,DataLookUp!$A$4:$AVY$70,1159,FALSE))</f>
        <v>0</v>
      </c>
      <c r="F116" s="128">
        <v>0</v>
      </c>
      <c r="G116" s="128">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86"/>
    </row>
    <row r="117" spans="2:18" ht="20.100000000000001" customHeight="1" x14ac:dyDescent="0.2">
      <c r="B117" s="190"/>
      <c r="C117" s="461" t="s">
        <v>225</v>
      </c>
      <c r="D117" s="462"/>
      <c r="E117" s="130">
        <f>IF('Subcases Monthly'!$D$4="","",VLOOKUP('Subcases Monthly'!$D$4,DataLookUp!$A$4:$AVY$70,1172,FALSE))</f>
        <v>0</v>
      </c>
      <c r="F117" s="131">
        <v>0</v>
      </c>
      <c r="G117" s="131">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44">
        <f t="shared" si="45"/>
        <v>0</v>
      </c>
      <c r="R117" s="486"/>
    </row>
    <row r="118" spans="2:18" ht="20.100000000000001" customHeight="1" x14ac:dyDescent="0.2">
      <c r="B118" s="190"/>
      <c r="C118" s="461" t="s">
        <v>221</v>
      </c>
      <c r="D118" s="462"/>
      <c r="E118" s="127">
        <f>IF('Subcases Monthly'!$D$4="","",VLOOKUP('Subcases Monthly'!$D$4,DataLookUp!$A$4:$AVY$70,1185,FALSE))</f>
        <v>0</v>
      </c>
      <c r="F118" s="128">
        <v>0</v>
      </c>
      <c r="G118" s="128">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86"/>
    </row>
    <row r="119" spans="2:18" ht="20.100000000000001" customHeight="1" thickBot="1" x14ac:dyDescent="0.25">
      <c r="B119" s="199">
        <v>1</v>
      </c>
      <c r="C119" s="469" t="s">
        <v>157</v>
      </c>
      <c r="D119" s="470"/>
      <c r="E119" s="220">
        <f>IF('Subcases Monthly'!$D$4="","",VLOOKUP('Subcases Monthly'!$D$4,DataLookUp!$A$4:$AVY$70,1198,FALSE))</f>
        <v>0</v>
      </c>
      <c r="F119" s="221">
        <v>0</v>
      </c>
      <c r="G119" s="221">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87"/>
    </row>
    <row r="120" spans="2:18" s="13" customFormat="1" ht="20.100000000000001" customHeight="1" thickTop="1" thickBot="1" x14ac:dyDescent="0.25">
      <c r="B120" s="192"/>
      <c r="C120" s="471" t="s">
        <v>396</v>
      </c>
      <c r="D120" s="472"/>
      <c r="E120" s="244">
        <f>SUM(E111:E119)</f>
        <v>18</v>
      </c>
      <c r="F120" s="245">
        <f t="shared" ref="F120:P120" si="46">SUM(F111:F119)</f>
        <v>20</v>
      </c>
      <c r="G120" s="245">
        <f t="shared" si="46"/>
        <v>22</v>
      </c>
      <c r="H120" s="245">
        <f t="shared" si="46"/>
        <v>12</v>
      </c>
      <c r="I120" s="245">
        <f t="shared" si="46"/>
        <v>0</v>
      </c>
      <c r="J120" s="245">
        <f t="shared" si="46"/>
        <v>0</v>
      </c>
      <c r="K120" s="245">
        <f t="shared" si="46"/>
        <v>0</v>
      </c>
      <c r="L120" s="245">
        <f t="shared" si="46"/>
        <v>0</v>
      </c>
      <c r="M120" s="245">
        <f t="shared" si="46"/>
        <v>0</v>
      </c>
      <c r="N120" s="245">
        <f t="shared" si="46"/>
        <v>0</v>
      </c>
      <c r="O120" s="245">
        <f t="shared" si="46"/>
        <v>0</v>
      </c>
      <c r="P120" s="246">
        <f t="shared" si="46"/>
        <v>0</v>
      </c>
      <c r="Q120" s="146">
        <f t="shared" si="45"/>
        <v>72</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67" t="s">
        <v>223</v>
      </c>
      <c r="D123" s="468"/>
      <c r="E123" s="147">
        <v>3260</v>
      </c>
      <c r="F123" s="148">
        <v>3692</v>
      </c>
      <c r="G123" s="148">
        <v>3766</v>
      </c>
      <c r="H123" s="148">
        <v>4884</v>
      </c>
      <c r="I123" s="148">
        <f>IF('Subcases Monthly'!$D$4="","",VLOOKUP('Subcases Monthly'!$D$4,DataLookUp!$A$4:$AVY$70,1228,FALSE))</f>
        <v>0</v>
      </c>
      <c r="J123" s="148">
        <f>IF('Subcases Monthly'!$D$4="","",VLOOKUP('Subcases Monthly'!$D$4,DataLookUp!$A$4:$AVY$70,1229,FALSE))</f>
        <v>0</v>
      </c>
      <c r="K123" s="148">
        <f>IF('Subcases Monthly'!$D$4="","",VLOOKUP('Subcases Monthly'!$D$4,DataLookUp!$A$4:$AVY$70,1230,FALSE))</f>
        <v>0</v>
      </c>
      <c r="L123" s="148">
        <f>IF('Subcases Monthly'!$D$4="","",VLOOKUP('Subcases Monthly'!$D$4,DataLookUp!$A$4:$AVY$70,1231,FALSE))</f>
        <v>0</v>
      </c>
      <c r="M123" s="148">
        <f>IF('Subcases Monthly'!$D$4="","",VLOOKUP('Subcases Monthly'!$D$4,DataLookUp!$A$4:$AVY$70,1232,FALSE))</f>
        <v>0</v>
      </c>
      <c r="N123" s="148">
        <f>IF('Subcases Monthly'!$D$4="","",VLOOKUP('Subcases Monthly'!$D$4,DataLookUp!$A$4:$AVY$70,1233,FALSE))</f>
        <v>0</v>
      </c>
      <c r="O123" s="148">
        <f>IF('Subcases Monthly'!$D$4="","",VLOOKUP('Subcases Monthly'!$D$4,DataLookUp!$A$4:$AVY$70,1234,FALSE))</f>
        <v>0</v>
      </c>
      <c r="P123" s="149">
        <f>IF('Subcases Monthly'!$D$4="","",VLOOKUP('Subcases Monthly'!$D$4,DataLookUp!$A$4:$AVY$70,1235,FALSE))</f>
        <v>0</v>
      </c>
      <c r="Q123" s="133">
        <f t="shared" ref="Q123:Q124" si="48">SUM(E123:P123)</f>
        <v>15602</v>
      </c>
      <c r="R123" s="485">
        <f>IF('Subcases Monthly'!$D$4="","",VLOOKUP('Subcases Monthly'!$D$4,DataLookUp!$A$4:$AVY$70,1273,FALSE))</f>
        <v>0</v>
      </c>
    </row>
    <row r="124" spans="2:18" ht="20.100000000000001" customHeight="1" thickTop="1" thickBot="1" x14ac:dyDescent="0.25">
      <c r="B124" s="194"/>
      <c r="C124" s="465" t="s">
        <v>397</v>
      </c>
      <c r="D124" s="466"/>
      <c r="E124" s="244">
        <f>SUM(E123:E123)</f>
        <v>3260</v>
      </c>
      <c r="F124" s="245">
        <f t="shared" ref="F124:P124" si="49">SUM(F123:F123)</f>
        <v>3692</v>
      </c>
      <c r="G124" s="245">
        <f t="shared" si="49"/>
        <v>3766</v>
      </c>
      <c r="H124" s="245">
        <f t="shared" si="49"/>
        <v>4884</v>
      </c>
      <c r="I124" s="245">
        <f t="shared" si="49"/>
        <v>0</v>
      </c>
      <c r="J124" s="245">
        <f t="shared" si="49"/>
        <v>0</v>
      </c>
      <c r="K124" s="245">
        <f t="shared" si="49"/>
        <v>0</v>
      </c>
      <c r="L124" s="245">
        <f t="shared" si="49"/>
        <v>0</v>
      </c>
      <c r="M124" s="245">
        <f t="shared" si="49"/>
        <v>0</v>
      </c>
      <c r="N124" s="245">
        <f t="shared" si="49"/>
        <v>0</v>
      </c>
      <c r="O124" s="245">
        <f t="shared" si="49"/>
        <v>0</v>
      </c>
      <c r="P124" s="246">
        <f t="shared" si="49"/>
        <v>0</v>
      </c>
      <c r="Q124" s="146">
        <f t="shared" si="48"/>
        <v>15602</v>
      </c>
      <c r="R124" s="486"/>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86"/>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86"/>
    </row>
    <row r="127" spans="2:18" s="9" customFormat="1" ht="14.25" thickBot="1" x14ac:dyDescent="0.25">
      <c r="B127" s="473" t="s">
        <v>378</v>
      </c>
      <c r="C127" s="473"/>
      <c r="Q127" s="450"/>
      <c r="R127" s="487"/>
    </row>
    <row r="128" spans="2:18" s="209" customFormat="1" ht="13.5" x14ac:dyDescent="0.2">
      <c r="B128" s="464" t="s">
        <v>407</v>
      </c>
      <c r="C128" s="464"/>
      <c r="D128" s="464"/>
      <c r="E128" s="464"/>
      <c r="F128" s="464"/>
      <c r="G128" s="464"/>
      <c r="H128" s="464"/>
      <c r="I128" s="464"/>
      <c r="J128" s="464"/>
      <c r="K128" s="464"/>
      <c r="L128" s="464"/>
      <c r="M128" s="464"/>
      <c r="N128" s="464"/>
      <c r="O128" s="464"/>
      <c r="P128" s="464"/>
      <c r="Q128" s="464"/>
    </row>
    <row r="129" spans="1:18" s="209" customFormat="1" ht="13.5" x14ac:dyDescent="0.2">
      <c r="B129" s="464"/>
      <c r="C129" s="464"/>
      <c r="D129" s="464"/>
      <c r="E129" s="464"/>
      <c r="F129" s="464"/>
      <c r="G129" s="464"/>
      <c r="H129" s="464"/>
      <c r="I129" s="464"/>
      <c r="J129" s="464"/>
      <c r="K129" s="464"/>
      <c r="L129" s="464"/>
      <c r="M129" s="464"/>
      <c r="N129" s="464"/>
      <c r="O129" s="464"/>
      <c r="P129" s="464"/>
      <c r="Q129" s="464"/>
    </row>
    <row r="130" spans="1:18" s="209" customFormat="1" ht="15" x14ac:dyDescent="0.2">
      <c r="A130" s="210"/>
      <c r="B130" s="463" t="s">
        <v>402</v>
      </c>
      <c r="C130" s="463"/>
      <c r="D130" s="463"/>
      <c r="E130" s="463"/>
      <c r="F130" s="463"/>
      <c r="G130" s="463"/>
      <c r="H130" s="463"/>
      <c r="I130" s="463"/>
      <c r="J130" s="463"/>
      <c r="K130" s="463"/>
      <c r="L130" s="463"/>
      <c r="M130" s="463"/>
      <c r="N130" s="463"/>
      <c r="O130" s="463"/>
      <c r="P130" s="463"/>
      <c r="Q130" s="463"/>
      <c r="R130" s="9"/>
    </row>
    <row r="131" spans="1:18" s="209" customFormat="1" ht="15" x14ac:dyDescent="0.2">
      <c r="A131" s="210"/>
      <c r="B131" s="463" t="s">
        <v>403</v>
      </c>
      <c r="C131" s="463"/>
      <c r="D131" s="463"/>
      <c r="E131" s="463"/>
      <c r="F131" s="463"/>
      <c r="G131" s="463"/>
      <c r="H131" s="463"/>
      <c r="I131" s="463"/>
      <c r="J131" s="463"/>
      <c r="K131" s="463"/>
      <c r="L131" s="463"/>
      <c r="M131" s="463"/>
      <c r="N131" s="463"/>
      <c r="O131" s="463"/>
      <c r="P131" s="463"/>
      <c r="Q131" s="463"/>
      <c r="R131" s="9"/>
    </row>
    <row r="132" spans="1:18" s="209" customFormat="1" ht="15" x14ac:dyDescent="0.2">
      <c r="A132" s="210"/>
      <c r="B132" s="463" t="s">
        <v>408</v>
      </c>
      <c r="C132" s="463"/>
      <c r="D132" s="463"/>
      <c r="E132" s="463"/>
      <c r="F132" s="463"/>
      <c r="G132" s="463"/>
      <c r="H132" s="463"/>
      <c r="I132" s="463"/>
      <c r="J132" s="463"/>
      <c r="K132" s="463"/>
      <c r="L132" s="463"/>
      <c r="M132" s="463"/>
      <c r="N132" s="463"/>
      <c r="O132" s="463"/>
      <c r="P132" s="463"/>
      <c r="Q132" s="463"/>
    </row>
    <row r="133" spans="1:18" s="9" customFormat="1" ht="13.5" x14ac:dyDescent="0.25">
      <c r="B133" s="483" t="s">
        <v>1907</v>
      </c>
      <c r="C133" s="483"/>
      <c r="D133" s="483"/>
      <c r="E133" s="483"/>
      <c r="F133" s="483"/>
      <c r="G133" s="483"/>
      <c r="H133" s="483"/>
      <c r="I133" s="483"/>
      <c r="J133" s="483"/>
      <c r="K133" s="483"/>
      <c r="L133" s="483"/>
      <c r="M133" s="483"/>
      <c r="N133" s="483"/>
      <c r="O133" s="483"/>
      <c r="P133" s="483"/>
      <c r="Q133" s="483"/>
    </row>
  </sheetData>
  <sheetProtection algorithmName="SHA-512" hashValue="RscaFN1rR7q0B/F9y0inUWlGnHnM5cIMdKvIO7djVQzyiBmZMES4k0fb8WuT5ip4RkoUYJ0Hev+reXkRQ4srig==" saltValue="OXb9xm+ZS/kJV6XnRuQ8Vg==" spinCount="100000" sheet="1" objects="1" scenarios="1" selectLockedCells="1"/>
  <mergeCells count="120">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C42:D42"/>
    <mergeCell ref="C43:D43"/>
    <mergeCell ref="C44:D44"/>
    <mergeCell ref="C45:D45"/>
    <mergeCell ref="C46:D46"/>
    <mergeCell ref="C47:D47"/>
    <mergeCell ref="C48:D48"/>
    <mergeCell ref="C49:D49"/>
    <mergeCell ref="C50:D50"/>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3" t="s">
        <v>415</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5"/>
      <c r="AP1" s="606" t="s">
        <v>416</v>
      </c>
      <c r="AQ1" s="607"/>
      <c r="AR1" s="607"/>
      <c r="AS1" s="607"/>
      <c r="AT1" s="607"/>
      <c r="AU1" s="607"/>
      <c r="AV1" s="607"/>
      <c r="AW1" s="607"/>
      <c r="AX1" s="607"/>
      <c r="AY1" s="607"/>
      <c r="AZ1" s="607"/>
      <c r="BA1" s="607"/>
      <c r="BB1" s="607"/>
      <c r="BC1" s="607"/>
      <c r="BD1" s="607"/>
      <c r="BE1" s="607"/>
      <c r="BF1" s="607"/>
      <c r="BG1" s="607"/>
      <c r="BH1" s="607"/>
      <c r="BI1" s="607"/>
      <c r="BJ1" s="607"/>
      <c r="BK1" s="607"/>
      <c r="BL1" s="607"/>
      <c r="BM1" s="607"/>
      <c r="BN1" s="607"/>
      <c r="BO1" s="607"/>
      <c r="BP1" s="607"/>
      <c r="BQ1" s="607"/>
      <c r="BR1" s="607"/>
      <c r="BS1" s="607"/>
      <c r="BT1" s="607"/>
      <c r="BU1" s="607"/>
      <c r="BV1" s="607"/>
      <c r="BW1" s="607"/>
      <c r="BX1" s="607"/>
      <c r="BY1" s="607"/>
      <c r="BZ1" s="607"/>
      <c r="CA1" s="607"/>
      <c r="CB1" s="607"/>
      <c r="CC1" s="607"/>
      <c r="CD1" s="607"/>
      <c r="CE1" s="607"/>
      <c r="CF1" s="607"/>
      <c r="CG1" s="607"/>
      <c r="CH1" s="607"/>
      <c r="CI1" s="607"/>
      <c r="CJ1" s="607"/>
      <c r="CK1" s="607"/>
      <c r="CL1" s="607"/>
      <c r="CM1" s="607"/>
      <c r="CN1" s="607"/>
      <c r="CO1" s="607"/>
      <c r="CP1" s="607"/>
      <c r="CQ1" s="607"/>
      <c r="CR1" s="607"/>
      <c r="CS1" s="607"/>
      <c r="CT1" s="607"/>
      <c r="CU1" s="607"/>
      <c r="CV1" s="607"/>
      <c r="CW1" s="607"/>
      <c r="CX1" s="607"/>
      <c r="CY1" s="607"/>
      <c r="CZ1" s="607"/>
      <c r="DA1" s="607"/>
      <c r="DB1" s="607"/>
      <c r="DC1" s="607"/>
      <c r="DD1" s="607"/>
      <c r="DE1" s="607"/>
      <c r="DF1" s="607"/>
      <c r="DG1" s="607"/>
      <c r="DH1" s="607"/>
      <c r="DI1" s="607"/>
      <c r="DJ1" s="607"/>
      <c r="DK1" s="607"/>
      <c r="DL1" s="607"/>
      <c r="DM1" s="607"/>
      <c r="DN1" s="607"/>
      <c r="DO1" s="607"/>
      <c r="DP1" s="607"/>
      <c r="DQ1" s="608"/>
      <c r="DR1" s="264" t="s">
        <v>417</v>
      </c>
      <c r="DS1" s="265"/>
      <c r="DT1" s="609"/>
      <c r="DU1" s="610"/>
      <c r="DV1" s="610"/>
    </row>
    <row r="2" spans="1:126" ht="16.5" thickTop="1" x14ac:dyDescent="0.3">
      <c r="A2" s="611" t="s">
        <v>418</v>
      </c>
      <c r="B2" s="612" t="s">
        <v>419</v>
      </c>
      <c r="C2" s="612"/>
      <c r="D2" s="612"/>
      <c r="E2" s="613"/>
      <c r="F2" s="612" t="s">
        <v>420</v>
      </c>
      <c r="G2" s="612"/>
      <c r="H2" s="612"/>
      <c r="I2" s="613"/>
      <c r="J2" s="612" t="s">
        <v>421</v>
      </c>
      <c r="K2" s="612"/>
      <c r="L2" s="612"/>
      <c r="M2" s="613"/>
      <c r="N2" s="612" t="s">
        <v>137</v>
      </c>
      <c r="O2" s="612"/>
      <c r="P2" s="612"/>
      <c r="Q2" s="613"/>
      <c r="R2" s="614" t="s">
        <v>422</v>
      </c>
      <c r="S2" s="614"/>
      <c r="T2" s="614"/>
      <c r="U2" s="615"/>
      <c r="V2" s="614" t="s">
        <v>423</v>
      </c>
      <c r="W2" s="614"/>
      <c r="X2" s="614"/>
      <c r="Y2" s="615"/>
      <c r="Z2" s="616" t="s">
        <v>424</v>
      </c>
      <c r="AA2" s="617"/>
      <c r="AB2" s="617"/>
      <c r="AC2" s="618"/>
      <c r="AD2" s="616" t="s">
        <v>425</v>
      </c>
      <c r="AE2" s="617"/>
      <c r="AF2" s="617"/>
      <c r="AG2" s="618"/>
      <c r="AH2" s="619" t="s">
        <v>426</v>
      </c>
      <c r="AI2" s="620"/>
      <c r="AJ2" s="620"/>
      <c r="AK2" s="621"/>
      <c r="AL2" s="614" t="s">
        <v>138</v>
      </c>
      <c r="AM2" s="614"/>
      <c r="AN2" s="614"/>
      <c r="AO2" s="615"/>
      <c r="AP2" s="622" t="s">
        <v>419</v>
      </c>
      <c r="AQ2" s="623"/>
      <c r="AR2" s="623"/>
      <c r="AS2" s="623"/>
      <c r="AT2" s="623"/>
      <c r="AU2" s="623"/>
      <c r="AV2" s="623"/>
      <c r="AW2" s="624"/>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625" t="s">
        <v>422</v>
      </c>
      <c r="BW2" s="626"/>
      <c r="BX2" s="626"/>
      <c r="BY2" s="626"/>
      <c r="BZ2" s="626"/>
      <c r="CA2" s="626"/>
      <c r="CB2" s="626"/>
      <c r="CC2" s="626"/>
      <c r="CD2" s="625" t="s">
        <v>423</v>
      </c>
      <c r="CE2" s="626"/>
      <c r="CF2" s="626"/>
      <c r="CG2" s="626"/>
      <c r="CH2" s="626"/>
      <c r="CI2" s="626"/>
      <c r="CJ2" s="626"/>
      <c r="CK2" s="626"/>
      <c r="CL2" s="266" t="s">
        <v>427</v>
      </c>
      <c r="CM2" s="267"/>
      <c r="CN2" s="267"/>
      <c r="CO2" s="267"/>
      <c r="CP2" s="267"/>
      <c r="CQ2" s="267"/>
      <c r="CR2" s="267"/>
      <c r="CS2" s="267"/>
      <c r="CT2" s="627" t="s">
        <v>425</v>
      </c>
      <c r="CU2" s="628"/>
      <c r="CV2" s="628"/>
      <c r="CW2" s="628"/>
      <c r="CX2" s="628"/>
      <c r="CY2" s="628"/>
      <c r="CZ2" s="628"/>
      <c r="DA2" s="629"/>
      <c r="DB2" s="625" t="s">
        <v>428</v>
      </c>
      <c r="DC2" s="626"/>
      <c r="DD2" s="626"/>
      <c r="DE2" s="626"/>
      <c r="DF2" s="626"/>
      <c r="DG2" s="626"/>
      <c r="DH2" s="626"/>
      <c r="DI2" s="630"/>
      <c r="DJ2" s="625" t="s">
        <v>138</v>
      </c>
      <c r="DK2" s="626"/>
      <c r="DL2" s="626"/>
      <c r="DM2" s="626"/>
      <c r="DN2" s="626"/>
      <c r="DO2" s="626"/>
      <c r="DP2" s="626"/>
      <c r="DQ2" s="626"/>
      <c r="DR2" s="268" t="s">
        <v>429</v>
      </c>
      <c r="DT2" s="269" t="s">
        <v>430</v>
      </c>
    </row>
    <row r="3" spans="1:126" ht="48" thickBot="1" x14ac:dyDescent="0.35">
      <c r="A3" s="611"/>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DJ2:DQ2"/>
    <mergeCell ref="BF2:BM2"/>
    <mergeCell ref="BN2:BU2"/>
    <mergeCell ref="BV2:CC2"/>
    <mergeCell ref="CD2:CK2"/>
    <mergeCell ref="CT2:DA2"/>
    <mergeCell ref="DB2:DI2"/>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E23" sqref="E23"/>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6" t="s">
        <v>304</v>
      </c>
      <c r="B1" s="476"/>
      <c r="C1" s="476"/>
      <c r="D1" s="476"/>
      <c r="E1" s="476"/>
      <c r="F1" s="476"/>
    </row>
    <row r="2" spans="1:17" ht="24" customHeight="1" x14ac:dyDescent="0.2">
      <c r="A2" s="476" t="str">
        <f>'Subcases Monthly'!A2</f>
        <v>County Fiscal Year 2024-2025</v>
      </c>
      <c r="B2" s="476"/>
      <c r="C2" s="476"/>
      <c r="D2" s="476"/>
    </row>
    <row r="3" spans="1:17" ht="24" customHeight="1" x14ac:dyDescent="0.2">
      <c r="N3"/>
      <c r="O3"/>
    </row>
    <row r="4" spans="1:17" ht="21" customHeight="1" x14ac:dyDescent="0.2">
      <c r="A4" s="6"/>
      <c r="C4" s="21" t="s">
        <v>2</v>
      </c>
      <c r="D4" s="499" t="str">
        <f>IF('Subcases Monthly'!D4="","",'Subcases Monthly'!D4)</f>
        <v>Brevard</v>
      </c>
      <c r="E4" s="499"/>
      <c r="F4" s="6"/>
      <c r="G4" s="21" t="s">
        <v>226</v>
      </c>
      <c r="H4" s="499" t="str">
        <f>IF('Subcases Monthly'!H4="","",'Subcases Monthly'!H4)</f>
        <v>January</v>
      </c>
      <c r="I4" s="499"/>
      <c r="K4" s="21" t="s">
        <v>3</v>
      </c>
      <c r="L4" s="91">
        <f>IF('Subcases Monthly'!L4="","",'Subcases Monthly'!L4)</f>
        <v>1</v>
      </c>
      <c r="N4"/>
      <c r="O4" s="484" t="str">
        <f>'Subcases Monthly'!Q4</f>
        <v>CCOC Form Version 1
Created: 11/11/2024</v>
      </c>
      <c r="P4" s="484"/>
      <c r="Q4" s="484"/>
    </row>
    <row r="5" spans="1:17" ht="21" customHeight="1" thickBot="1" x14ac:dyDescent="0.35">
      <c r="A5" s="6"/>
      <c r="C5" s="21" t="s">
        <v>73</v>
      </c>
      <c r="D5" s="500" t="str">
        <f>IF('Subcases Monthly'!D5="","",'Subcases Monthly'!D5)</f>
        <v xml:space="preserve">Carol Vail </v>
      </c>
      <c r="E5" s="500"/>
      <c r="F5" s="6"/>
      <c r="N5" s="7"/>
      <c r="O5" s="496"/>
      <c r="P5" s="496"/>
      <c r="Q5" s="496"/>
    </row>
    <row r="6" spans="1:17" ht="26.25" customHeight="1" thickBot="1" x14ac:dyDescent="0.25">
      <c r="A6" s="6"/>
      <c r="C6" s="21" t="s">
        <v>84</v>
      </c>
      <c r="D6" s="499" t="str">
        <f>IF('Subcases Monthly'!D6="","",'Subcases Monthly'!D6)</f>
        <v>carol.vail@brevardclerk.us</v>
      </c>
      <c r="E6" s="499"/>
      <c r="F6" s="6"/>
      <c r="K6"/>
      <c r="L6"/>
      <c r="M6"/>
      <c r="N6"/>
      <c r="O6" s="504" t="str">
        <f>"Total Number of Financial Receipts
for the CFY "&amp;RIGHT(A2,9)&amp;":"</f>
        <v>Total Number of Financial Receipts
for the CFY 2024-2025:</v>
      </c>
      <c r="P6" s="505"/>
      <c r="Q6" s="506"/>
    </row>
    <row r="7" spans="1:17" ht="27" customHeight="1" thickBot="1" x14ac:dyDescent="0.25">
      <c r="A7" s="6"/>
      <c r="J7" s="507"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7"/>
      <c r="L7" s="507"/>
      <c r="M7" s="507"/>
      <c r="N7" s="508"/>
      <c r="O7" s="501">
        <f>IF('Subcases Monthly'!$D$4="","",VLOOKUP('Subcases Monthly'!$D$4,'Timeliness Performance'!$A$4:$DR$70,122,FALSE))</f>
        <v>0</v>
      </c>
      <c r="P7" s="502"/>
      <c r="Q7" s="503"/>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5" t="s">
        <v>132</v>
      </c>
      <c r="C10" s="474"/>
      <c r="D10" s="474"/>
      <c r="E10" s="150">
        <f>'Subcases Monthly'!E15</f>
        <v>525</v>
      </c>
      <c r="F10" s="151">
        <f>'Subcases Monthly'!F15</f>
        <v>549</v>
      </c>
      <c r="G10" s="151">
        <f>'Subcases Monthly'!G15</f>
        <v>503</v>
      </c>
      <c r="H10" s="151">
        <f>'Subcases Monthly'!H15</f>
        <v>550</v>
      </c>
      <c r="I10" s="151">
        <f>'Subcases Monthly'!I15</f>
        <v>0</v>
      </c>
      <c r="J10" s="151">
        <f>'Subcases Monthly'!J15</f>
        <v>0</v>
      </c>
      <c r="K10" s="151">
        <f>'Subcases Monthly'!K15</f>
        <v>0</v>
      </c>
      <c r="L10" s="151">
        <f>'Subcases Monthly'!L15</f>
        <v>0</v>
      </c>
      <c r="M10" s="151">
        <f>'Subcases Monthly'!M15</f>
        <v>0</v>
      </c>
      <c r="N10" s="151">
        <f>'Subcases Monthly'!N15</f>
        <v>0</v>
      </c>
      <c r="O10" s="151">
        <f>'Subcases Monthly'!O15</f>
        <v>0</v>
      </c>
      <c r="P10" s="152">
        <f>'Subcases Monthly'!P15</f>
        <v>0</v>
      </c>
      <c r="Q10" s="153">
        <f>SUM(E10:P10)</f>
        <v>2127</v>
      </c>
    </row>
    <row r="11" spans="1:17" ht="19.5" customHeight="1" x14ac:dyDescent="0.2">
      <c r="B11" s="494" t="s">
        <v>133</v>
      </c>
      <c r="C11" s="461"/>
      <c r="D11" s="461"/>
      <c r="E11" s="154">
        <f>'Subcases Monthly'!E23</f>
        <v>485</v>
      </c>
      <c r="F11" s="155">
        <f>'Subcases Monthly'!F23</f>
        <v>566</v>
      </c>
      <c r="G11" s="155">
        <f>'Subcases Monthly'!G23</f>
        <v>585</v>
      </c>
      <c r="H11" s="155">
        <f>'Subcases Monthly'!H23</f>
        <v>508</v>
      </c>
      <c r="I11" s="155">
        <f>'Subcases Monthly'!I23</f>
        <v>0</v>
      </c>
      <c r="J11" s="155">
        <f>'Subcases Monthly'!J23</f>
        <v>0</v>
      </c>
      <c r="K11" s="155">
        <f>'Subcases Monthly'!K23</f>
        <v>0</v>
      </c>
      <c r="L11" s="155">
        <f>'Subcases Monthly'!L23</f>
        <v>0</v>
      </c>
      <c r="M11" s="155">
        <f>'Subcases Monthly'!M23</f>
        <v>0</v>
      </c>
      <c r="N11" s="155">
        <f>'Subcases Monthly'!N23</f>
        <v>0</v>
      </c>
      <c r="O11" s="155">
        <f>'Subcases Monthly'!O23</f>
        <v>0</v>
      </c>
      <c r="P11" s="156">
        <f>'Subcases Monthly'!P23</f>
        <v>0</v>
      </c>
      <c r="Q11" s="157">
        <f t="shared" ref="Q11:Q19" si="1">SUM(E11:P11)</f>
        <v>2144</v>
      </c>
    </row>
    <row r="12" spans="1:17" ht="19.5" customHeight="1" x14ac:dyDescent="0.2">
      <c r="B12" s="494" t="s">
        <v>140</v>
      </c>
      <c r="C12" s="461"/>
      <c r="D12" s="461"/>
      <c r="E12" s="154">
        <f>'Subcases Monthly'!E30</f>
        <v>97</v>
      </c>
      <c r="F12" s="155">
        <f>'Subcases Monthly'!F30</f>
        <v>95</v>
      </c>
      <c r="G12" s="155">
        <f>'Subcases Monthly'!G30</f>
        <v>79</v>
      </c>
      <c r="H12" s="155">
        <f>'Subcases Monthly'!H30</f>
        <v>71</v>
      </c>
      <c r="I12" s="155">
        <f>'Subcases Monthly'!I30</f>
        <v>0</v>
      </c>
      <c r="J12" s="155">
        <f>'Subcases Monthly'!J30</f>
        <v>0</v>
      </c>
      <c r="K12" s="155">
        <f>'Subcases Monthly'!K30</f>
        <v>0</v>
      </c>
      <c r="L12" s="155">
        <f>'Subcases Monthly'!L30</f>
        <v>0</v>
      </c>
      <c r="M12" s="155">
        <f>'Subcases Monthly'!M30</f>
        <v>0</v>
      </c>
      <c r="N12" s="155">
        <f>'Subcases Monthly'!N30</f>
        <v>0</v>
      </c>
      <c r="O12" s="155">
        <f>'Subcases Monthly'!O30</f>
        <v>0</v>
      </c>
      <c r="P12" s="156">
        <f>'Subcases Monthly'!P30</f>
        <v>0</v>
      </c>
      <c r="Q12" s="157">
        <f t="shared" si="1"/>
        <v>342</v>
      </c>
    </row>
    <row r="13" spans="1:17" ht="19.5" customHeight="1" x14ac:dyDescent="0.2">
      <c r="B13" s="494" t="s">
        <v>137</v>
      </c>
      <c r="C13" s="461"/>
      <c r="D13" s="461"/>
      <c r="E13" s="154">
        <f>'Subcases Monthly'!E36</f>
        <v>711</v>
      </c>
      <c r="F13" s="155">
        <f>'Subcases Monthly'!F36</f>
        <v>709</v>
      </c>
      <c r="G13" s="155">
        <f>'Subcases Monthly'!G36</f>
        <v>734</v>
      </c>
      <c r="H13" s="155">
        <f>'Subcases Monthly'!H36</f>
        <v>830</v>
      </c>
      <c r="I13" s="155">
        <f>'Subcases Monthly'!I36</f>
        <v>0</v>
      </c>
      <c r="J13" s="155">
        <f>'Subcases Monthly'!J36</f>
        <v>0</v>
      </c>
      <c r="K13" s="155">
        <f>'Subcases Monthly'!K36</f>
        <v>0</v>
      </c>
      <c r="L13" s="155">
        <f>'Subcases Monthly'!L36</f>
        <v>0</v>
      </c>
      <c r="M13" s="155">
        <f>'Subcases Monthly'!M36</f>
        <v>0</v>
      </c>
      <c r="N13" s="155">
        <f>'Subcases Monthly'!N36</f>
        <v>0</v>
      </c>
      <c r="O13" s="155">
        <f>'Subcases Monthly'!O36</f>
        <v>0</v>
      </c>
      <c r="P13" s="156">
        <f>'Subcases Monthly'!P36</f>
        <v>0</v>
      </c>
      <c r="Q13" s="157">
        <f t="shared" si="1"/>
        <v>2984</v>
      </c>
    </row>
    <row r="14" spans="1:17" ht="19.5" customHeight="1" x14ac:dyDescent="0.2">
      <c r="B14" s="494" t="s">
        <v>134</v>
      </c>
      <c r="C14" s="461"/>
      <c r="D14" s="461"/>
      <c r="E14" s="154">
        <f>'Subcases Monthly'!E60</f>
        <v>307</v>
      </c>
      <c r="F14" s="155">
        <f>'Subcases Monthly'!F60</f>
        <v>242</v>
      </c>
      <c r="G14" s="155">
        <f>'Subcases Monthly'!G60</f>
        <v>284</v>
      </c>
      <c r="H14" s="155">
        <f>'Subcases Monthly'!H60</f>
        <v>262</v>
      </c>
      <c r="I14" s="155">
        <f>'Subcases Monthly'!I60</f>
        <v>0</v>
      </c>
      <c r="J14" s="155">
        <f>'Subcases Monthly'!J60</f>
        <v>0</v>
      </c>
      <c r="K14" s="155">
        <f>'Subcases Monthly'!K60</f>
        <v>0</v>
      </c>
      <c r="L14" s="155">
        <f>'Subcases Monthly'!L60</f>
        <v>0</v>
      </c>
      <c r="M14" s="155">
        <f>'Subcases Monthly'!M60</f>
        <v>0</v>
      </c>
      <c r="N14" s="155">
        <f>'Subcases Monthly'!N60</f>
        <v>0</v>
      </c>
      <c r="O14" s="155">
        <f>'Subcases Monthly'!O60</f>
        <v>0</v>
      </c>
      <c r="P14" s="156">
        <f>'Subcases Monthly'!P60</f>
        <v>0</v>
      </c>
      <c r="Q14" s="157">
        <f t="shared" si="1"/>
        <v>1095</v>
      </c>
    </row>
    <row r="15" spans="1:17" ht="19.5" customHeight="1" x14ac:dyDescent="0.2">
      <c r="B15" s="494" t="s">
        <v>135</v>
      </c>
      <c r="C15" s="461"/>
      <c r="D15" s="461"/>
      <c r="E15" s="154">
        <f>'Subcases Monthly'!E74</f>
        <v>1183</v>
      </c>
      <c r="F15" s="155">
        <f>'Subcases Monthly'!F74</f>
        <v>1188</v>
      </c>
      <c r="G15" s="155">
        <f>'Subcases Monthly'!G74</f>
        <v>1173</v>
      </c>
      <c r="H15" s="155">
        <f>'Subcases Monthly'!H74</f>
        <v>1323</v>
      </c>
      <c r="I15" s="155">
        <f>'Subcases Monthly'!I74</f>
        <v>0</v>
      </c>
      <c r="J15" s="155">
        <f>'Subcases Monthly'!J74</f>
        <v>0</v>
      </c>
      <c r="K15" s="155">
        <f>'Subcases Monthly'!K74</f>
        <v>0</v>
      </c>
      <c r="L15" s="155">
        <f>'Subcases Monthly'!L74</f>
        <v>0</v>
      </c>
      <c r="M15" s="155">
        <f>'Subcases Monthly'!M74</f>
        <v>0</v>
      </c>
      <c r="N15" s="155">
        <f>'Subcases Monthly'!N74</f>
        <v>0</v>
      </c>
      <c r="O15" s="155">
        <f>'Subcases Monthly'!O74</f>
        <v>0</v>
      </c>
      <c r="P15" s="156">
        <f>'Subcases Monthly'!P74</f>
        <v>0</v>
      </c>
      <c r="Q15" s="157">
        <f t="shared" si="1"/>
        <v>4867</v>
      </c>
    </row>
    <row r="16" spans="1:17" ht="19.5" customHeight="1" x14ac:dyDescent="0.2">
      <c r="B16" s="494" t="s">
        <v>136</v>
      </c>
      <c r="C16" s="461"/>
      <c r="D16" s="461"/>
      <c r="E16" s="154">
        <f>'Subcases Monthly'!E94</f>
        <v>605</v>
      </c>
      <c r="F16" s="155">
        <f>'Subcases Monthly'!F94</f>
        <v>591</v>
      </c>
      <c r="G16" s="155">
        <f>'Subcases Monthly'!G94</f>
        <v>560</v>
      </c>
      <c r="H16" s="155">
        <f>'Subcases Monthly'!H94</f>
        <v>639</v>
      </c>
      <c r="I16" s="155">
        <f>'Subcases Monthly'!I94</f>
        <v>0</v>
      </c>
      <c r="J16" s="155">
        <f>'Subcases Monthly'!J94</f>
        <v>0</v>
      </c>
      <c r="K16" s="155">
        <f>'Subcases Monthly'!K94</f>
        <v>0</v>
      </c>
      <c r="L16" s="155">
        <f>'Subcases Monthly'!L94</f>
        <v>0</v>
      </c>
      <c r="M16" s="155">
        <f>'Subcases Monthly'!M94</f>
        <v>0</v>
      </c>
      <c r="N16" s="155">
        <f>'Subcases Monthly'!N94</f>
        <v>0</v>
      </c>
      <c r="O16" s="155">
        <f>'Subcases Monthly'!O94</f>
        <v>0</v>
      </c>
      <c r="P16" s="156">
        <f>'Subcases Monthly'!P94</f>
        <v>0</v>
      </c>
      <c r="Q16" s="157">
        <f t="shared" si="1"/>
        <v>2395</v>
      </c>
    </row>
    <row r="17" spans="1:17" ht="19.5" customHeight="1" x14ac:dyDescent="0.2">
      <c r="B17" s="494" t="s">
        <v>229</v>
      </c>
      <c r="C17" s="461"/>
      <c r="D17" s="461"/>
      <c r="E17" s="154">
        <f>'Subcases Monthly'!E108</f>
        <v>458</v>
      </c>
      <c r="F17" s="155">
        <f>'Subcases Monthly'!F108</f>
        <v>410</v>
      </c>
      <c r="G17" s="155">
        <f>'Subcases Monthly'!G108</f>
        <v>415</v>
      </c>
      <c r="H17" s="155">
        <f>'Subcases Monthly'!H108</f>
        <v>484</v>
      </c>
      <c r="I17" s="155">
        <f>'Subcases Monthly'!I108</f>
        <v>0</v>
      </c>
      <c r="J17" s="155">
        <f>'Subcases Monthly'!J108</f>
        <v>0</v>
      </c>
      <c r="K17" s="155">
        <f>'Subcases Monthly'!K108</f>
        <v>0</v>
      </c>
      <c r="L17" s="155">
        <f>'Subcases Monthly'!L108</f>
        <v>0</v>
      </c>
      <c r="M17" s="155">
        <f>'Subcases Monthly'!M108</f>
        <v>0</v>
      </c>
      <c r="N17" s="155">
        <f>'Subcases Monthly'!N108</f>
        <v>0</v>
      </c>
      <c r="O17" s="155">
        <f>'Subcases Monthly'!O108</f>
        <v>0</v>
      </c>
      <c r="P17" s="156">
        <f>'Subcases Monthly'!P108</f>
        <v>0</v>
      </c>
      <c r="Q17" s="157">
        <f t="shared" si="1"/>
        <v>1767</v>
      </c>
    </row>
    <row r="18" spans="1:17" ht="19.5" customHeight="1" x14ac:dyDescent="0.2">
      <c r="B18" s="494" t="s">
        <v>139</v>
      </c>
      <c r="C18" s="461"/>
      <c r="D18" s="461"/>
      <c r="E18" s="154">
        <f>'Subcases Monthly'!E120</f>
        <v>18</v>
      </c>
      <c r="F18" s="155">
        <f>'Subcases Monthly'!F120</f>
        <v>20</v>
      </c>
      <c r="G18" s="155">
        <f>'Subcases Monthly'!G120</f>
        <v>22</v>
      </c>
      <c r="H18" s="155">
        <f>'Subcases Monthly'!H120</f>
        <v>12</v>
      </c>
      <c r="I18" s="155">
        <f>'Subcases Monthly'!I120</f>
        <v>0</v>
      </c>
      <c r="J18" s="155">
        <f>'Subcases Monthly'!J120</f>
        <v>0</v>
      </c>
      <c r="K18" s="155">
        <f>'Subcases Monthly'!K120</f>
        <v>0</v>
      </c>
      <c r="L18" s="155">
        <f>'Subcases Monthly'!L120</f>
        <v>0</v>
      </c>
      <c r="M18" s="155">
        <f>'Subcases Monthly'!M120</f>
        <v>0</v>
      </c>
      <c r="N18" s="155">
        <f>'Subcases Monthly'!N120</f>
        <v>0</v>
      </c>
      <c r="O18" s="155">
        <f>'Subcases Monthly'!O120</f>
        <v>0</v>
      </c>
      <c r="P18" s="156">
        <f>'Subcases Monthly'!P120</f>
        <v>0</v>
      </c>
      <c r="Q18" s="157">
        <f t="shared" si="1"/>
        <v>72</v>
      </c>
    </row>
    <row r="19" spans="1:17" ht="19.5" customHeight="1" thickBot="1" x14ac:dyDescent="0.25">
      <c r="B19" s="497" t="s">
        <v>138</v>
      </c>
      <c r="C19" s="469"/>
      <c r="D19" s="469"/>
      <c r="E19" s="158">
        <f>'Subcases Monthly'!E124</f>
        <v>3260</v>
      </c>
      <c r="F19" s="159">
        <f>'Subcases Monthly'!F124</f>
        <v>3692</v>
      </c>
      <c r="G19" s="159">
        <f>'Subcases Monthly'!G124</f>
        <v>3766</v>
      </c>
      <c r="H19" s="159">
        <f>'Subcases Monthly'!H124</f>
        <v>4884</v>
      </c>
      <c r="I19" s="159">
        <f>'Subcases Monthly'!I124</f>
        <v>0</v>
      </c>
      <c r="J19" s="159">
        <f>'Subcases Monthly'!J124</f>
        <v>0</v>
      </c>
      <c r="K19" s="159">
        <f>'Subcases Monthly'!K124</f>
        <v>0</v>
      </c>
      <c r="L19" s="159">
        <f>'Subcases Monthly'!L124</f>
        <v>0</v>
      </c>
      <c r="M19" s="159">
        <f>'Subcases Monthly'!M124</f>
        <v>0</v>
      </c>
      <c r="N19" s="159">
        <f>'Subcases Monthly'!N124</f>
        <v>0</v>
      </c>
      <c r="O19" s="159">
        <f>'Subcases Monthly'!O124</f>
        <v>0</v>
      </c>
      <c r="P19" s="160">
        <f>'Subcases Monthly'!P124</f>
        <v>0</v>
      </c>
      <c r="Q19" s="161">
        <f t="shared" si="1"/>
        <v>15602</v>
      </c>
    </row>
    <row r="20" spans="1:17" s="13" customFormat="1" ht="19.5" customHeight="1" thickTop="1" thickBot="1" x14ac:dyDescent="0.25">
      <c r="B20" s="498" t="s">
        <v>380</v>
      </c>
      <c r="C20" s="471"/>
      <c r="D20" s="472"/>
      <c r="E20" s="211">
        <f t="shared" ref="E20:P20" si="2">SUM(E10:E19)</f>
        <v>7649</v>
      </c>
      <c r="F20" s="212">
        <f t="shared" si="2"/>
        <v>8062</v>
      </c>
      <c r="G20" s="212">
        <f t="shared" si="2"/>
        <v>8121</v>
      </c>
      <c r="H20" s="212">
        <f t="shared" si="2"/>
        <v>9563</v>
      </c>
      <c r="I20" s="212">
        <f t="shared" si="2"/>
        <v>0</v>
      </c>
      <c r="J20" s="212">
        <f t="shared" si="2"/>
        <v>0</v>
      </c>
      <c r="K20" s="212">
        <f t="shared" si="2"/>
        <v>0</v>
      </c>
      <c r="L20" s="212">
        <f t="shared" si="2"/>
        <v>0</v>
      </c>
      <c r="M20" s="212">
        <f t="shared" si="2"/>
        <v>0</v>
      </c>
      <c r="N20" s="212">
        <f t="shared" si="2"/>
        <v>0</v>
      </c>
      <c r="O20" s="212">
        <f t="shared" si="2"/>
        <v>0</v>
      </c>
      <c r="P20" s="261">
        <f t="shared" si="2"/>
        <v>0</v>
      </c>
      <c r="Q20" s="262">
        <f t="shared" ref="Q20" si="3">SUM(E20:P20)</f>
        <v>33395</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5" t="s">
        <v>132</v>
      </c>
      <c r="C23" s="474"/>
      <c r="D23" s="474"/>
      <c r="E23" s="252">
        <v>961</v>
      </c>
      <c r="F23" s="173">
        <v>761</v>
      </c>
      <c r="G23" s="173">
        <v>883</v>
      </c>
      <c r="H23" s="173">
        <v>905</v>
      </c>
      <c r="I23" s="173">
        <f>IF('Subcases Monthly'!$D$4="","",VLOOKUP('Subcases Monthly'!$D$4,'ReOpens by Court Division'!$A$4:$EJ$70,6,FALSE))</f>
        <v>0</v>
      </c>
      <c r="J23" s="173">
        <f>IF('Subcases Monthly'!$D$4="","",VLOOKUP('Subcases Monthly'!$D$4,'ReOpens by Court Division'!$A$4:$EJ$70,7,FALSE))</f>
        <v>0</v>
      </c>
      <c r="K23" s="173">
        <f>IF('Subcases Monthly'!$D$4="","",VLOOKUP('Subcases Monthly'!$D$4,'ReOpens by Court Division'!$A$4:$EJ$70,8,FALSE))</f>
        <v>0</v>
      </c>
      <c r="L23" s="173">
        <f>IF('Subcases Monthly'!$D$4="","",VLOOKUP('Subcases Monthly'!$D$4,'ReOpens by Court Division'!$A$4:$EJ$70,9,FALSE))</f>
        <v>0</v>
      </c>
      <c r="M23" s="173">
        <f>IF('Subcases Monthly'!$D$4="","",VLOOKUP('Subcases Monthly'!$D$4,'ReOpens by Court Division'!$A$4:$EJ$70,10,FALSE))</f>
        <v>0</v>
      </c>
      <c r="N23" s="173">
        <f>IF('Subcases Monthly'!$D$4="","",VLOOKUP('Subcases Monthly'!$D$4,'ReOpens by Court Division'!$A$4:$EJ$70,11,FALSE))</f>
        <v>0</v>
      </c>
      <c r="O23" s="173">
        <f>IF('Subcases Monthly'!$D$4="","",VLOOKUP('Subcases Monthly'!$D$4,'ReOpens by Court Division'!$A$4:$EJ$70,12,FALSE))</f>
        <v>0</v>
      </c>
      <c r="P23" s="253">
        <f>IF('Subcases Monthly'!$D$4="","",VLOOKUP('Subcases Monthly'!$D$4,'ReOpens by Court Division'!$A$4:$EJ$70,13,FALSE))</f>
        <v>0</v>
      </c>
      <c r="Q23" s="153">
        <f>SUM(E23:P23)</f>
        <v>3510</v>
      </c>
    </row>
    <row r="24" spans="1:17" ht="19.5" customHeight="1" x14ac:dyDescent="0.2">
      <c r="B24" s="494" t="s">
        <v>133</v>
      </c>
      <c r="C24" s="461"/>
      <c r="D24" s="461"/>
      <c r="E24" s="141">
        <v>90</v>
      </c>
      <c r="F24" s="142">
        <v>83</v>
      </c>
      <c r="G24" s="142">
        <v>89</v>
      </c>
      <c r="H24" s="142">
        <v>111</v>
      </c>
      <c r="I24" s="142">
        <f>IF('Subcases Monthly'!$D$4="","",VLOOKUP('Subcases Monthly'!$D$4,'ReOpens by Court Division'!$A$4:$EJ$70,20,FALSE))</f>
        <v>0</v>
      </c>
      <c r="J24" s="142">
        <f>IF('Subcases Monthly'!$D$4="","",VLOOKUP('Subcases Monthly'!$D$4,'ReOpens by Court Division'!$A$4:$EJ$70,21,FALSE))</f>
        <v>0</v>
      </c>
      <c r="K24" s="142">
        <f>IF('Subcases Monthly'!$D$4="","",VLOOKUP('Subcases Monthly'!$D$4,'ReOpens by Court Division'!$A$4:$EJ$70,22,FALSE))</f>
        <v>0</v>
      </c>
      <c r="L24" s="142">
        <f>IF('Subcases Monthly'!$D$4="","",VLOOKUP('Subcases Monthly'!$D$4,'ReOpens by Court Division'!$A$4:$EJ$70,23,FALSE))</f>
        <v>0</v>
      </c>
      <c r="M24" s="142">
        <f>IF('Subcases Monthly'!$D$4="","",VLOOKUP('Subcases Monthly'!$D$4,'ReOpens by Court Division'!$A$4:$EJ$70,24,FALSE))</f>
        <v>0</v>
      </c>
      <c r="N24" s="142">
        <f>IF('Subcases Monthly'!$D$4="","",VLOOKUP('Subcases Monthly'!$D$4,'ReOpens by Court Division'!$A$4:$EJ$70,25,FALSE))</f>
        <v>0</v>
      </c>
      <c r="O24" s="142">
        <f>IF('Subcases Monthly'!$D$4="","",VLOOKUP('Subcases Monthly'!$D$4,'ReOpens by Court Division'!$A$4:$EJ$70,26,FALSE))</f>
        <v>0</v>
      </c>
      <c r="P24" s="254">
        <f>IF('Subcases Monthly'!$D$4="","",VLOOKUP('Subcases Monthly'!$D$4,'ReOpens by Court Division'!$A$4:$EJ$70,27,FALSE))</f>
        <v>0</v>
      </c>
      <c r="Q24" s="157">
        <f t="shared" ref="Q24:Q33" si="5">SUM(E24:P24)</f>
        <v>373</v>
      </c>
    </row>
    <row r="25" spans="1:17" ht="19.5" customHeight="1" x14ac:dyDescent="0.2">
      <c r="B25" s="494" t="s">
        <v>140</v>
      </c>
      <c r="C25" s="461"/>
      <c r="D25" s="461"/>
      <c r="E25" s="255">
        <v>118</v>
      </c>
      <c r="F25" s="256">
        <v>90</v>
      </c>
      <c r="G25" s="256">
        <v>90</v>
      </c>
      <c r="H25" s="256">
        <v>116</v>
      </c>
      <c r="I25" s="256">
        <f>IF('Subcases Monthly'!$D$4="","",VLOOKUP('Subcases Monthly'!$D$4,'ReOpens by Court Division'!$A$4:$EJ$70,34,FALSE))</f>
        <v>0</v>
      </c>
      <c r="J25" s="256">
        <f>IF('Subcases Monthly'!$D$4="","",VLOOKUP('Subcases Monthly'!$D$4,'ReOpens by Court Division'!$A$4:$EJ$70,35,FALSE))</f>
        <v>0</v>
      </c>
      <c r="K25" s="256">
        <f>IF('Subcases Monthly'!$D$4="","",VLOOKUP('Subcases Monthly'!$D$4,'ReOpens by Court Division'!$A$4:$EJ$70,36,FALSE))</f>
        <v>0</v>
      </c>
      <c r="L25" s="256">
        <f>IF('Subcases Monthly'!$D$4="","",VLOOKUP('Subcases Monthly'!$D$4,'ReOpens by Court Division'!$A$4:$EJ$70,37,FALSE))</f>
        <v>0</v>
      </c>
      <c r="M25" s="256">
        <f>IF('Subcases Monthly'!$D$4="","",VLOOKUP('Subcases Monthly'!$D$4,'ReOpens by Court Division'!$A$4:$EJ$70,38,FALSE))</f>
        <v>0</v>
      </c>
      <c r="N25" s="256">
        <f>IF('Subcases Monthly'!$D$4="","",VLOOKUP('Subcases Monthly'!$D$4,'ReOpens by Court Division'!$A$4:$EJ$70,39,FALSE))</f>
        <v>0</v>
      </c>
      <c r="O25" s="256">
        <f>IF('Subcases Monthly'!$D$4="","",VLOOKUP('Subcases Monthly'!$D$4,'ReOpens by Court Division'!$A$4:$EJ$70,40,FALSE))</f>
        <v>0</v>
      </c>
      <c r="P25" s="257">
        <f>IF('Subcases Monthly'!$D$4="","",VLOOKUP('Subcases Monthly'!$D$4,'ReOpens by Court Division'!$A$4:$EJ$70,41,FALSE))</f>
        <v>0</v>
      </c>
      <c r="Q25" s="157">
        <f t="shared" si="5"/>
        <v>414</v>
      </c>
    </row>
    <row r="26" spans="1:17" ht="19.5" customHeight="1" x14ac:dyDescent="0.2">
      <c r="B26" s="494" t="s">
        <v>137</v>
      </c>
      <c r="C26" s="461"/>
      <c r="D26" s="461"/>
      <c r="E26" s="141">
        <v>194</v>
      </c>
      <c r="F26" s="142">
        <v>133</v>
      </c>
      <c r="G26" s="142">
        <v>97</v>
      </c>
      <c r="H26" s="142">
        <v>196</v>
      </c>
      <c r="I26" s="142">
        <f>IF('Subcases Monthly'!$D$4="","",VLOOKUP('Subcases Monthly'!$D$4,'ReOpens by Court Division'!$A$4:$EJ$70,48,FALSE))</f>
        <v>0</v>
      </c>
      <c r="J26" s="142">
        <f>IF('Subcases Monthly'!$D$4="","",VLOOKUP('Subcases Monthly'!$D$4,'ReOpens by Court Division'!$A$4:$EJ$70,49,FALSE))</f>
        <v>0</v>
      </c>
      <c r="K26" s="142">
        <f>IF('Subcases Monthly'!$D$4="","",VLOOKUP('Subcases Monthly'!$D$4,'ReOpens by Court Division'!$A$4:$EJ$70,50,FALSE))</f>
        <v>0</v>
      </c>
      <c r="L26" s="142">
        <f>IF('Subcases Monthly'!$D$4="","",VLOOKUP('Subcases Monthly'!$D$4,'ReOpens by Court Division'!$A$4:$EJ$70,51,FALSE))</f>
        <v>0</v>
      </c>
      <c r="M26" s="142">
        <f>IF('Subcases Monthly'!$D$4="","",VLOOKUP('Subcases Monthly'!$D$4,'ReOpens by Court Division'!$A$4:$EJ$70,52,FALSE))</f>
        <v>0</v>
      </c>
      <c r="N26" s="142">
        <f>IF('Subcases Monthly'!$D$4="","",VLOOKUP('Subcases Monthly'!$D$4,'ReOpens by Court Division'!$A$4:$EJ$70,53,FALSE))</f>
        <v>0</v>
      </c>
      <c r="O26" s="142">
        <f>IF('Subcases Monthly'!$D$4="","",VLOOKUP('Subcases Monthly'!$D$4,'ReOpens by Court Division'!$A$4:$EJ$70,54,FALSE))</f>
        <v>0</v>
      </c>
      <c r="P26" s="254">
        <f>IF('Subcases Monthly'!$D$4="","",VLOOKUP('Subcases Monthly'!$D$4,'ReOpens by Court Division'!$A$4:$EJ$70,55,FALSE))</f>
        <v>0</v>
      </c>
      <c r="Q26" s="157">
        <f t="shared" si="5"/>
        <v>620</v>
      </c>
    </row>
    <row r="27" spans="1:17" ht="19.5" customHeight="1" x14ac:dyDescent="0.2">
      <c r="B27" s="494" t="s">
        <v>134</v>
      </c>
      <c r="C27" s="461"/>
      <c r="D27" s="461"/>
      <c r="E27" s="255">
        <v>144</v>
      </c>
      <c r="F27" s="256">
        <v>93</v>
      </c>
      <c r="G27" s="256">
        <v>104</v>
      </c>
      <c r="H27" s="256">
        <v>152</v>
      </c>
      <c r="I27" s="256">
        <f>IF('Subcases Monthly'!$D$4="","",VLOOKUP('Subcases Monthly'!$D$4,'ReOpens by Court Division'!$A$4:$EJ$70,62,FALSE))</f>
        <v>0</v>
      </c>
      <c r="J27" s="256">
        <f>IF('Subcases Monthly'!$D$4="","",VLOOKUP('Subcases Monthly'!$D$4,'ReOpens by Court Division'!$A$4:$EJ$70,77,FALSE))</f>
        <v>0</v>
      </c>
      <c r="K27" s="256">
        <f>IF('Subcases Monthly'!$D$4="","",VLOOKUP('Subcases Monthly'!$D$4,'ReOpens by Court Division'!$A$4:$EJ$70,64,FALSE))</f>
        <v>0</v>
      </c>
      <c r="L27" s="256">
        <f>IF('Subcases Monthly'!$D$4="","",VLOOKUP('Subcases Monthly'!$D$4,'ReOpens by Court Division'!$A$4:$EJ$70,65,FALSE))</f>
        <v>0</v>
      </c>
      <c r="M27" s="256">
        <f>IF('Subcases Monthly'!$D$4="","",VLOOKUP('Subcases Monthly'!$D$4,'ReOpens by Court Division'!$A$4:$EJ$70,66,FALSE))</f>
        <v>0</v>
      </c>
      <c r="N27" s="256">
        <f>IF('Subcases Monthly'!$D$4="","",VLOOKUP('Subcases Monthly'!$D$4,'ReOpens by Court Division'!$A$4:$EJ$70,67,FALSE))</f>
        <v>0</v>
      </c>
      <c r="O27" s="256">
        <f>IF('Subcases Monthly'!$D$4="","",VLOOKUP('Subcases Monthly'!$D$4,'ReOpens by Court Division'!$A$4:$EJ$70,68,FALSE))</f>
        <v>0</v>
      </c>
      <c r="P27" s="257">
        <f>IF('Subcases Monthly'!$D$4="","",VLOOKUP('Subcases Monthly'!$D$4,'ReOpens by Court Division'!$A$4:$EJ$70,69,FALSE))</f>
        <v>0</v>
      </c>
      <c r="Q27" s="157">
        <f t="shared" si="5"/>
        <v>493</v>
      </c>
    </row>
    <row r="28" spans="1:17" ht="19.5" customHeight="1" x14ac:dyDescent="0.2">
      <c r="B28" s="494" t="s">
        <v>135</v>
      </c>
      <c r="C28" s="461"/>
      <c r="D28" s="461"/>
      <c r="E28" s="141">
        <v>466</v>
      </c>
      <c r="F28" s="142">
        <v>452</v>
      </c>
      <c r="G28" s="142">
        <v>423</v>
      </c>
      <c r="H28" s="142">
        <v>485</v>
      </c>
      <c r="I28" s="142">
        <f>IF('Subcases Monthly'!$D$4="","",VLOOKUP('Subcases Monthly'!$D$4,'ReOpens by Court Division'!$A$4:$EJ$70,76,FALSE))</f>
        <v>0</v>
      </c>
      <c r="J28" s="142">
        <f>IF('Subcases Monthly'!$D$4="","",VLOOKUP('Subcases Monthly'!$D$4,'ReOpens by Court Division'!$A$4:$EJ$70,91,FALSE))</f>
        <v>0</v>
      </c>
      <c r="K28" s="142">
        <f>IF('Subcases Monthly'!$D$4="","",VLOOKUP('Subcases Monthly'!$D$4,'ReOpens by Court Division'!$A$4:$EJ$70,78,FALSE))</f>
        <v>0</v>
      </c>
      <c r="L28" s="142">
        <f>IF('Subcases Monthly'!$D$4="","",VLOOKUP('Subcases Monthly'!$D$4,'ReOpens by Court Division'!$A$4:$EJ$70,79,FALSE))</f>
        <v>0</v>
      </c>
      <c r="M28" s="142">
        <f>IF('Subcases Monthly'!$D$4="","",VLOOKUP('Subcases Monthly'!$D$4,'ReOpens by Court Division'!$A$4:$EJ$70,80,FALSE))</f>
        <v>0</v>
      </c>
      <c r="N28" s="142">
        <f>IF('Subcases Monthly'!$D$4="","",VLOOKUP('Subcases Monthly'!$D$4,'ReOpens by Court Division'!$A$4:$EJ$70,81,FALSE))</f>
        <v>0</v>
      </c>
      <c r="O28" s="142">
        <f>IF('Subcases Monthly'!$D$4="","",VLOOKUP('Subcases Monthly'!$D$4,'ReOpens by Court Division'!$A$4:$EJ$70,82,FALSE))</f>
        <v>0</v>
      </c>
      <c r="P28" s="254">
        <f>IF('Subcases Monthly'!$D$4="","",VLOOKUP('Subcases Monthly'!$D$4,'ReOpens by Court Division'!$A$4:$EJ$70,83,FALSE))</f>
        <v>0</v>
      </c>
      <c r="Q28" s="157">
        <f t="shared" si="5"/>
        <v>1826</v>
      </c>
    </row>
    <row r="29" spans="1:17" ht="19.5" customHeight="1" x14ac:dyDescent="0.2">
      <c r="B29" s="494" t="s">
        <v>136</v>
      </c>
      <c r="C29" s="461"/>
      <c r="D29" s="461"/>
      <c r="E29" s="255">
        <v>243</v>
      </c>
      <c r="F29" s="256">
        <v>221</v>
      </c>
      <c r="G29" s="256">
        <v>227</v>
      </c>
      <c r="H29" s="256">
        <v>277</v>
      </c>
      <c r="I29" s="256">
        <f>IF('Subcases Monthly'!$D$4="","",VLOOKUP('Subcases Monthly'!$D$4,'ReOpens by Court Division'!$A$4:$EJ$70,90,FALSE))</f>
        <v>0</v>
      </c>
      <c r="J29" s="256">
        <f>IF('Subcases Monthly'!$D$4="","",VLOOKUP('Subcases Monthly'!$D$4,'ReOpens by Court Division'!$A$4:$EJ$70,105,FALSE))</f>
        <v>0</v>
      </c>
      <c r="K29" s="256">
        <f>IF('Subcases Monthly'!$D$4="","",VLOOKUP('Subcases Monthly'!$D$4,'ReOpens by Court Division'!$A$4:$EJ$70,92,FALSE))</f>
        <v>0</v>
      </c>
      <c r="L29" s="256">
        <f>IF('Subcases Monthly'!$D$4="","",VLOOKUP('Subcases Monthly'!$D$4,'ReOpens by Court Division'!$A$4:$EJ$70,93,FALSE))</f>
        <v>0</v>
      </c>
      <c r="M29" s="256">
        <f>IF('Subcases Monthly'!$D$4="","",VLOOKUP('Subcases Monthly'!$D$4,'ReOpens by Court Division'!$A$4:$EJ$70,94,FALSE))</f>
        <v>0</v>
      </c>
      <c r="N29" s="256">
        <f>IF('Subcases Monthly'!$D$4="","",VLOOKUP('Subcases Monthly'!$D$4,'ReOpens by Court Division'!$A$4:$EJ$70,95,FALSE))</f>
        <v>0</v>
      </c>
      <c r="O29" s="256">
        <f>IF('Subcases Monthly'!$D$4="","",VLOOKUP('Subcases Monthly'!$D$4,'ReOpens by Court Division'!$A$4:$EJ$70,96,FALSE))</f>
        <v>0</v>
      </c>
      <c r="P29" s="257">
        <f>IF('Subcases Monthly'!$D$4="","",VLOOKUP('Subcases Monthly'!$D$4,'ReOpens by Court Division'!$A$4:$EJ$70,97,FALSE))</f>
        <v>0</v>
      </c>
      <c r="Q29" s="157">
        <f t="shared" si="5"/>
        <v>968</v>
      </c>
    </row>
    <row r="30" spans="1:17" ht="19.5" customHeight="1" x14ac:dyDescent="0.2">
      <c r="B30" s="494" t="s">
        <v>229</v>
      </c>
      <c r="C30" s="461"/>
      <c r="D30" s="461"/>
      <c r="E30" s="141">
        <v>641</v>
      </c>
      <c r="F30" s="142">
        <v>885</v>
      </c>
      <c r="G30" s="142">
        <v>440</v>
      </c>
      <c r="H30" s="142">
        <v>669</v>
      </c>
      <c r="I30" s="142">
        <f>IF('Subcases Monthly'!$D$4="","",VLOOKUP('Subcases Monthly'!$D$4,'ReOpens by Court Division'!$A$4:$EJ$70,104,FALSE))</f>
        <v>0</v>
      </c>
      <c r="J30" s="142">
        <f>IF('Subcases Monthly'!$D$4="","",VLOOKUP('Subcases Monthly'!$D$4,'ReOpens by Court Division'!$A$4:$EJ$70,119,FALSE))</f>
        <v>0</v>
      </c>
      <c r="K30" s="142">
        <f>IF('Subcases Monthly'!$D$4="","",VLOOKUP('Subcases Monthly'!$D$4,'ReOpens by Court Division'!$A$4:$EJ$70,106,FALSE))</f>
        <v>0</v>
      </c>
      <c r="L30" s="142">
        <f>IF('Subcases Monthly'!$D$4="","",VLOOKUP('Subcases Monthly'!$D$4,'ReOpens by Court Division'!$A$4:$EJ$70,107,FALSE))</f>
        <v>0</v>
      </c>
      <c r="M30" s="142">
        <f>IF('Subcases Monthly'!$D$4="","",VLOOKUP('Subcases Monthly'!$D$4,'ReOpens by Court Division'!$A$4:$EJ$70,108,FALSE))</f>
        <v>0</v>
      </c>
      <c r="N30" s="142">
        <f>IF('Subcases Monthly'!$D$4="","",VLOOKUP('Subcases Monthly'!$D$4,'ReOpens by Court Division'!$A$4:$EJ$70,109,FALSE))</f>
        <v>0</v>
      </c>
      <c r="O30" s="142">
        <f>IF('Subcases Monthly'!$D$4="","",VLOOKUP('Subcases Monthly'!$D$4,'ReOpens by Court Division'!$A$4:$EJ$70,110,FALSE))</f>
        <v>0</v>
      </c>
      <c r="P30" s="254">
        <f>IF('Subcases Monthly'!$D$4="","",VLOOKUP('Subcases Monthly'!$D$4,'ReOpens by Court Division'!$A$4:$EJ$70,111,FALSE))</f>
        <v>0</v>
      </c>
      <c r="Q30" s="157">
        <f t="shared" si="5"/>
        <v>2635</v>
      </c>
    </row>
    <row r="31" spans="1:17" ht="19.5" customHeight="1" thickBot="1" x14ac:dyDescent="0.25">
      <c r="B31" s="494" t="s">
        <v>139</v>
      </c>
      <c r="C31" s="461"/>
      <c r="D31" s="461"/>
      <c r="E31" s="258">
        <v>50</v>
      </c>
      <c r="F31" s="259">
        <v>57</v>
      </c>
      <c r="G31" s="259">
        <v>41</v>
      </c>
      <c r="H31" s="259">
        <v>57</v>
      </c>
      <c r="I31" s="259">
        <f>IF('Subcases Monthly'!$D$4="","",VLOOKUP('Subcases Monthly'!$D$4,'ReOpens by Court Division'!$A$4:$EJ$70,118,FALSE))</f>
        <v>0</v>
      </c>
      <c r="J31" s="259">
        <f>IF('Subcases Monthly'!$D$4="","",VLOOKUP('Subcases Monthly'!$D$4,'ReOpens by Court Division'!$A$4:$EJ$70,41,FALSE))</f>
        <v>0</v>
      </c>
      <c r="K31" s="259">
        <f>IF('Subcases Monthly'!$D$4="","",VLOOKUP('Subcases Monthly'!$D$4,'ReOpens by Court Division'!$A$4:$EJ$70,120,FALSE))</f>
        <v>0</v>
      </c>
      <c r="L31" s="259">
        <f>IF('Subcases Monthly'!$D$4="","",VLOOKUP('Subcases Monthly'!$D$4,'ReOpens by Court Division'!$A$4:$EJ$70,121,FALSE))</f>
        <v>0</v>
      </c>
      <c r="M31" s="259">
        <f>IF('Subcases Monthly'!$D$4="","",VLOOKUP('Subcases Monthly'!$D$4,'ReOpens by Court Division'!$A$4:$EJ$70,122,FALSE))</f>
        <v>0</v>
      </c>
      <c r="N31" s="259">
        <f>IF('Subcases Monthly'!$D$4="","",VLOOKUP('Subcases Monthly'!$D$4,'ReOpens by Court Division'!$A$4:$EJ$70,123,FALSE))</f>
        <v>0</v>
      </c>
      <c r="O31" s="259">
        <f>IF('Subcases Monthly'!$D$4="","",VLOOKUP('Subcases Monthly'!$D$4,'ReOpens by Court Division'!$A$4:$EJ$70,124,FALSE))</f>
        <v>0</v>
      </c>
      <c r="P31" s="260">
        <f>IF('Subcases Monthly'!$D$4="","",VLOOKUP('Subcases Monthly'!$D$4,'ReOpens by Court Division'!$A$4:$EJ$70,125,FALSE))</f>
        <v>0</v>
      </c>
      <c r="Q31" s="157">
        <f t="shared" si="5"/>
        <v>205</v>
      </c>
    </row>
    <row r="32" spans="1:17" ht="19.5" hidden="1" customHeight="1" thickBot="1" x14ac:dyDescent="0.25">
      <c r="B32" s="497" t="s">
        <v>138</v>
      </c>
      <c r="C32" s="469"/>
      <c r="D32" s="470"/>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8" t="str">
        <f>"TOTAL "&amp;C22&amp;" "</f>
        <v xml:space="preserve">TOTAL REOPENS </v>
      </c>
      <c r="C33" s="471"/>
      <c r="D33" s="472"/>
      <c r="E33" s="211">
        <f t="shared" ref="E33:P33" si="6">SUM(E23:E32)</f>
        <v>2907</v>
      </c>
      <c r="F33" s="212">
        <f t="shared" si="6"/>
        <v>2775</v>
      </c>
      <c r="G33" s="212">
        <f t="shared" si="6"/>
        <v>2394</v>
      </c>
      <c r="H33" s="212">
        <f t="shared" si="6"/>
        <v>2968</v>
      </c>
      <c r="I33" s="212">
        <f t="shared" si="6"/>
        <v>0</v>
      </c>
      <c r="J33" s="212">
        <f t="shared" si="6"/>
        <v>0</v>
      </c>
      <c r="K33" s="212">
        <f t="shared" si="6"/>
        <v>0</v>
      </c>
      <c r="L33" s="212">
        <f t="shared" si="6"/>
        <v>0</v>
      </c>
      <c r="M33" s="212">
        <f t="shared" si="6"/>
        <v>0</v>
      </c>
      <c r="N33" s="212">
        <f t="shared" si="6"/>
        <v>0</v>
      </c>
      <c r="O33" s="212">
        <f t="shared" si="6"/>
        <v>0</v>
      </c>
      <c r="P33" s="248">
        <f t="shared" si="6"/>
        <v>0</v>
      </c>
      <c r="Q33" s="262">
        <f t="shared" si="5"/>
        <v>11044</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5" t="s">
        <v>132</v>
      </c>
      <c r="C36" s="474"/>
      <c r="D36" s="474"/>
      <c r="E36" s="252">
        <v>26</v>
      </c>
      <c r="F36" s="173">
        <v>24</v>
      </c>
      <c r="G36" s="173">
        <v>20</v>
      </c>
      <c r="H36" s="173">
        <v>21</v>
      </c>
      <c r="I36" s="173">
        <f>IF('Subcases Monthly'!$D$4="","",VLOOKUP('Subcases Monthly'!$D$4,'NOAs by Court Division'!$A$4:$EJ$70,6,FALSE))</f>
        <v>0</v>
      </c>
      <c r="J36" s="173">
        <f>IF('Subcases Monthly'!$D$4="","",VLOOKUP('Subcases Monthly'!$D$4,'NOAs by Court Division'!$A$4:$EJ$70,7,FALSE))</f>
        <v>0</v>
      </c>
      <c r="K36" s="173">
        <f>IF('Subcases Monthly'!$D$4="","",VLOOKUP('Subcases Monthly'!$D$4,'NOAs by Court Division'!$A$4:$EJ$70,8,FALSE))</f>
        <v>0</v>
      </c>
      <c r="L36" s="173">
        <f>IF('Subcases Monthly'!$D$4="","",VLOOKUP('Subcases Monthly'!$D$4,'NOAs by Court Division'!$A$4:$EJ$70,9,FALSE))</f>
        <v>0</v>
      </c>
      <c r="M36" s="173">
        <f>IF('Subcases Monthly'!$D$4="","",VLOOKUP('Subcases Monthly'!$D$4,'NOAs by Court Division'!$A$4:$EJ$70,10,FALSE))</f>
        <v>0</v>
      </c>
      <c r="N36" s="173">
        <f>IF('Subcases Monthly'!$D$4="","",VLOOKUP('Subcases Monthly'!$D$4,'NOAs by Court Division'!$A$4:$EJ$70,11,FALSE))</f>
        <v>0</v>
      </c>
      <c r="O36" s="173">
        <f>IF('Subcases Monthly'!$D$4="","",VLOOKUP('Subcases Monthly'!$D$4,'NOAs by Court Division'!$A$4:$EJ$70,12,FALSE))</f>
        <v>0</v>
      </c>
      <c r="P36" s="253">
        <f>IF('Subcases Monthly'!$D$4="","",VLOOKUP('Subcases Monthly'!$D$4,'NOAs by Court Division'!$A$4:$EJ$70,13,FALSE))</f>
        <v>0</v>
      </c>
      <c r="Q36" s="153">
        <f>SUM(E36:P36)</f>
        <v>91</v>
      </c>
    </row>
    <row r="37" spans="1:17" ht="19.5" customHeight="1" x14ac:dyDescent="0.2">
      <c r="B37" s="494" t="s">
        <v>133</v>
      </c>
      <c r="C37" s="461"/>
      <c r="D37" s="461"/>
      <c r="E37" s="141">
        <v>0</v>
      </c>
      <c r="F37" s="142">
        <v>3</v>
      </c>
      <c r="G37" s="142">
        <v>0</v>
      </c>
      <c r="H37" s="142">
        <f>IF('Subcases Monthly'!$D$4="","",VLOOKUP('Subcases Monthly'!$D$4,'NOAs by Court Division'!$A$4:$EJ$70,19,FALSE))</f>
        <v>0</v>
      </c>
      <c r="I37" s="142">
        <f>IF('Subcases Monthly'!$D$4="","",VLOOKUP('Subcases Monthly'!$D$4,'NOAs by Court Division'!$A$4:$EJ$70,20,FALSE))</f>
        <v>0</v>
      </c>
      <c r="J37" s="142">
        <f>IF('Subcases Monthly'!$D$4="","",VLOOKUP('Subcases Monthly'!$D$4,'NOAs by Court Division'!$A$4:$EJ$70,21,FALSE))</f>
        <v>0</v>
      </c>
      <c r="K37" s="142">
        <f>IF('Subcases Monthly'!$D$4="","",VLOOKUP('Subcases Monthly'!$D$4,'NOAs by Court Division'!$A$4:$EJ$70,22,FALSE))</f>
        <v>0</v>
      </c>
      <c r="L37" s="142">
        <f>IF('Subcases Monthly'!$D$4="","",VLOOKUP('Subcases Monthly'!$D$4,'NOAs by Court Division'!$A$4:$EJ$70,23,FALSE))</f>
        <v>0</v>
      </c>
      <c r="M37" s="142">
        <f>IF('Subcases Monthly'!$D$4="","",VLOOKUP('Subcases Monthly'!$D$4,'NOAs by Court Division'!$A$4:$EJ$70,24,FALSE))</f>
        <v>0</v>
      </c>
      <c r="N37" s="142">
        <f>IF('Subcases Monthly'!$D$4="","",VLOOKUP('Subcases Monthly'!$D$4,'NOAs by Court Division'!$A$4:$EJ$70,25,FALSE))</f>
        <v>0</v>
      </c>
      <c r="O37" s="142">
        <f>IF('Subcases Monthly'!$D$4="","",VLOOKUP('Subcases Monthly'!$D$4,'NOAs by Court Division'!$A$4:$EJ$70,26,FALSE))</f>
        <v>0</v>
      </c>
      <c r="P37" s="254">
        <f>IF('Subcases Monthly'!$D$4="","",VLOOKUP('Subcases Monthly'!$D$4,'NOAs by Court Division'!$A$4:$EJ$70,27,FALSE))</f>
        <v>0</v>
      </c>
      <c r="Q37" s="157">
        <f t="shared" ref="Q37:Q46" si="8">SUM(E37:P37)</f>
        <v>3</v>
      </c>
    </row>
    <row r="38" spans="1:17" ht="19.5" customHeight="1" x14ac:dyDescent="0.2">
      <c r="B38" s="494" t="s">
        <v>140</v>
      </c>
      <c r="C38" s="461"/>
      <c r="D38" s="461"/>
      <c r="E38" s="255">
        <v>0</v>
      </c>
      <c r="F38" s="256">
        <v>0</v>
      </c>
      <c r="G38" s="256">
        <v>0</v>
      </c>
      <c r="H38" s="256">
        <v>1</v>
      </c>
      <c r="I38" s="256">
        <f>IF('Subcases Monthly'!$D$4="","",VLOOKUP('Subcases Monthly'!$D$4,'NOAs by Court Division'!$A$4:$EJ$70,34,FALSE))</f>
        <v>0</v>
      </c>
      <c r="J38" s="256">
        <f>IF('Subcases Monthly'!$D$4="","",VLOOKUP('Subcases Monthly'!$D$4,'NOAs by Court Division'!$A$4:$EJ$70,35,FALSE))</f>
        <v>0</v>
      </c>
      <c r="K38" s="256">
        <f>IF('Subcases Monthly'!$D$4="","",VLOOKUP('Subcases Monthly'!$D$4,'NOAs by Court Division'!$A$4:$EJ$70,36,FALSE))</f>
        <v>0</v>
      </c>
      <c r="L38" s="256">
        <f>IF('Subcases Monthly'!$D$4="","",VLOOKUP('Subcases Monthly'!$D$4,'NOAs by Court Division'!$A$4:$EJ$70,37,FALSE))</f>
        <v>0</v>
      </c>
      <c r="M38" s="256">
        <f>IF('Subcases Monthly'!$D$4="","",VLOOKUP('Subcases Monthly'!$D$4,'NOAs by Court Division'!$A$4:$EJ$70,38,FALSE))</f>
        <v>0</v>
      </c>
      <c r="N38" s="256">
        <f>IF('Subcases Monthly'!$D$4="","",VLOOKUP('Subcases Monthly'!$D$4,'NOAs by Court Division'!$A$4:$EJ$70,39,FALSE))</f>
        <v>0</v>
      </c>
      <c r="O38" s="256">
        <f>IF('Subcases Monthly'!$D$4="","",VLOOKUP('Subcases Monthly'!$D$4,'NOAs by Court Division'!$A$4:$EJ$70,40,FALSE))</f>
        <v>0</v>
      </c>
      <c r="P38" s="257">
        <f>IF('Subcases Monthly'!$D$4="","",VLOOKUP('Subcases Monthly'!$D$4,'NOAs by Court Division'!$A$4:$EJ$70,41,FALSE))</f>
        <v>0</v>
      </c>
      <c r="Q38" s="157">
        <f t="shared" si="8"/>
        <v>1</v>
      </c>
    </row>
    <row r="39" spans="1:17" ht="19.5" customHeight="1" x14ac:dyDescent="0.2">
      <c r="B39" s="494" t="s">
        <v>137</v>
      </c>
      <c r="C39" s="461"/>
      <c r="D39" s="461"/>
      <c r="E39" s="141">
        <v>3</v>
      </c>
      <c r="F39" s="142">
        <v>6</v>
      </c>
      <c r="G39" s="142">
        <v>1</v>
      </c>
      <c r="H39" s="142">
        <v>10</v>
      </c>
      <c r="I39" s="142">
        <f>IF('Subcases Monthly'!$D$4="","",VLOOKUP('Subcases Monthly'!$D$4,'NOAs by Court Division'!$A$4:$EJ$70,48,FALSE))</f>
        <v>0</v>
      </c>
      <c r="J39" s="142">
        <f>IF('Subcases Monthly'!$D$4="","",VLOOKUP('Subcases Monthly'!$D$4,'NOAs by Court Division'!$A$4:$EJ$70,49,FALSE))</f>
        <v>0</v>
      </c>
      <c r="K39" s="142">
        <f>IF('Subcases Monthly'!$D$4="","",VLOOKUP('Subcases Monthly'!$D$4,'NOAs by Court Division'!$A$4:$EJ$70,50,FALSE))</f>
        <v>0</v>
      </c>
      <c r="L39" s="142">
        <f>IF('Subcases Monthly'!$D$4="","",VLOOKUP('Subcases Monthly'!$D$4,'NOAs by Court Division'!$A$4:$EJ$70,51,FALSE))</f>
        <v>0</v>
      </c>
      <c r="M39" s="142">
        <f>IF('Subcases Monthly'!$D$4="","",VLOOKUP('Subcases Monthly'!$D$4,'NOAs by Court Division'!$A$4:$EJ$70,52,FALSE))</f>
        <v>0</v>
      </c>
      <c r="N39" s="142">
        <f>IF('Subcases Monthly'!$D$4="","",VLOOKUP('Subcases Monthly'!$D$4,'NOAs by Court Division'!$A$4:$EJ$70,53,FALSE))</f>
        <v>0</v>
      </c>
      <c r="O39" s="142">
        <f>IF('Subcases Monthly'!$D$4="","",VLOOKUP('Subcases Monthly'!$D$4,'NOAs by Court Division'!$A$4:$EJ$70,54,FALSE))</f>
        <v>0</v>
      </c>
      <c r="P39" s="254">
        <f>IF('Subcases Monthly'!$D$4="","",VLOOKUP('Subcases Monthly'!$D$4,'NOAs by Court Division'!$A$4:$EJ$70,55,FALSE))</f>
        <v>0</v>
      </c>
      <c r="Q39" s="157">
        <f t="shared" si="8"/>
        <v>20</v>
      </c>
    </row>
    <row r="40" spans="1:17" ht="19.5" customHeight="1" x14ac:dyDescent="0.2">
      <c r="B40" s="494" t="s">
        <v>134</v>
      </c>
      <c r="C40" s="461"/>
      <c r="D40" s="461"/>
      <c r="E40" s="255">
        <v>7</v>
      </c>
      <c r="F40" s="256">
        <v>6</v>
      </c>
      <c r="G40" s="256">
        <v>4</v>
      </c>
      <c r="H40" s="256">
        <v>5</v>
      </c>
      <c r="I40" s="256">
        <f>IF('Subcases Monthly'!$D$4="","",VLOOKUP('Subcases Monthly'!$D$4,'NOAs by Court Division'!$A$4:$EJ$70,62,FALSE))</f>
        <v>0</v>
      </c>
      <c r="J40" s="256">
        <f>IF('Subcases Monthly'!$D$4="","",VLOOKUP('Subcases Monthly'!$D$4,'NOAs by Court Division'!$A$4:$EJ$70,77,FALSE))</f>
        <v>0</v>
      </c>
      <c r="K40" s="256">
        <f>IF('Subcases Monthly'!$D$4="","",VLOOKUP('Subcases Monthly'!$D$4,'NOAs by Court Division'!$A$4:$EJ$70,64,FALSE))</f>
        <v>0</v>
      </c>
      <c r="L40" s="256">
        <f>IF('Subcases Monthly'!$D$4="","",VLOOKUP('Subcases Monthly'!$D$4,'NOAs by Court Division'!$A$4:$EJ$70,65,FALSE))</f>
        <v>0</v>
      </c>
      <c r="M40" s="256">
        <f>IF('Subcases Monthly'!$D$4="","",VLOOKUP('Subcases Monthly'!$D$4,'NOAs by Court Division'!$A$4:$EJ$70,66,FALSE))</f>
        <v>0</v>
      </c>
      <c r="N40" s="256">
        <f>IF('Subcases Monthly'!$D$4="","",VLOOKUP('Subcases Monthly'!$D$4,'NOAs by Court Division'!$A$4:$EJ$70,67,FALSE))</f>
        <v>0</v>
      </c>
      <c r="O40" s="256">
        <f>IF('Subcases Monthly'!$D$4="","",VLOOKUP('Subcases Monthly'!$D$4,'NOAs by Court Division'!$A$4:$EJ$70,68,FALSE))</f>
        <v>0</v>
      </c>
      <c r="P40" s="257">
        <f>IF('Subcases Monthly'!$D$4="","",VLOOKUP('Subcases Monthly'!$D$4,'NOAs by Court Division'!$A$4:$EJ$70,69,FALSE))</f>
        <v>0</v>
      </c>
      <c r="Q40" s="157">
        <f t="shared" si="8"/>
        <v>22</v>
      </c>
    </row>
    <row r="41" spans="1:17" ht="19.5" customHeight="1" x14ac:dyDescent="0.2">
      <c r="B41" s="494" t="s">
        <v>135</v>
      </c>
      <c r="C41" s="461"/>
      <c r="D41" s="461"/>
      <c r="E41" s="141">
        <v>2</v>
      </c>
      <c r="F41" s="142">
        <v>3</v>
      </c>
      <c r="G41" s="142">
        <v>2</v>
      </c>
      <c r="H41" s="142">
        <v>7</v>
      </c>
      <c r="I41" s="142">
        <f>IF('Subcases Monthly'!$D$4="","",VLOOKUP('Subcases Monthly'!$D$4,'NOAs by Court Division'!$A$4:$EJ$70,76,FALSE))</f>
        <v>0</v>
      </c>
      <c r="J41" s="142">
        <f>IF('Subcases Monthly'!$D$4="","",VLOOKUP('Subcases Monthly'!$D$4,'NOAs by Court Division'!$A$4:$EJ$70,91,FALSE))</f>
        <v>0</v>
      </c>
      <c r="K41" s="142">
        <f>IF('Subcases Monthly'!$D$4="","",VLOOKUP('Subcases Monthly'!$D$4,'NOAs by Court Division'!$A$4:$EJ$70,78,FALSE))</f>
        <v>0</v>
      </c>
      <c r="L41" s="142">
        <f>IF('Subcases Monthly'!$D$4="","",VLOOKUP('Subcases Monthly'!$D$4,'NOAs by Court Division'!$A$4:$EJ$70,79,FALSE))</f>
        <v>0</v>
      </c>
      <c r="M41" s="142">
        <f>IF('Subcases Monthly'!$D$4="","",VLOOKUP('Subcases Monthly'!$D$4,'NOAs by Court Division'!$A$4:$EJ$70,80,FALSE))</f>
        <v>0</v>
      </c>
      <c r="N41" s="142">
        <f>IF('Subcases Monthly'!$D$4="","",VLOOKUP('Subcases Monthly'!$D$4,'NOAs by Court Division'!$A$4:$EJ$70,81,FALSE))</f>
        <v>0</v>
      </c>
      <c r="O41" s="142">
        <f>IF('Subcases Monthly'!$D$4="","",VLOOKUP('Subcases Monthly'!$D$4,'NOAs by Court Division'!$A$4:$EJ$70,82,FALSE))</f>
        <v>0</v>
      </c>
      <c r="P41" s="254">
        <f>IF('Subcases Monthly'!$D$4="","",VLOOKUP('Subcases Monthly'!$D$4,'NOAs by Court Division'!$A$4:$EJ$70,83,FALSE))</f>
        <v>0</v>
      </c>
      <c r="Q41" s="157">
        <f t="shared" si="8"/>
        <v>14</v>
      </c>
    </row>
    <row r="42" spans="1:17" ht="19.5" customHeight="1" x14ac:dyDescent="0.2">
      <c r="B42" s="494" t="s">
        <v>136</v>
      </c>
      <c r="C42" s="461"/>
      <c r="D42" s="461"/>
      <c r="E42" s="255">
        <v>0</v>
      </c>
      <c r="F42" s="256">
        <v>2</v>
      </c>
      <c r="G42" s="256">
        <v>1</v>
      </c>
      <c r="H42" s="256">
        <v>0</v>
      </c>
      <c r="I42" s="256">
        <f>IF('Subcases Monthly'!$D$4="","",VLOOKUP('Subcases Monthly'!$D$4,'NOAs by Court Division'!$A$4:$EJ$70,90,FALSE))</f>
        <v>0</v>
      </c>
      <c r="J42" s="256">
        <f>IF('Subcases Monthly'!$D$4="","",VLOOKUP('Subcases Monthly'!$D$4,'NOAs by Court Division'!$A$4:$EJ$70,105,FALSE))</f>
        <v>0</v>
      </c>
      <c r="K42" s="256">
        <f>IF('Subcases Monthly'!$D$4="","",VLOOKUP('Subcases Monthly'!$D$4,'NOAs by Court Division'!$A$4:$EJ$70,92,FALSE))</f>
        <v>0</v>
      </c>
      <c r="L42" s="256">
        <f>IF('Subcases Monthly'!$D$4="","",VLOOKUP('Subcases Monthly'!$D$4,'NOAs by Court Division'!$A$4:$EJ$70,93,FALSE))</f>
        <v>0</v>
      </c>
      <c r="M42" s="256">
        <f>IF('Subcases Monthly'!$D$4="","",VLOOKUP('Subcases Monthly'!$D$4,'NOAs by Court Division'!$A$4:$EJ$70,94,FALSE))</f>
        <v>0</v>
      </c>
      <c r="N42" s="256">
        <f>IF('Subcases Monthly'!$D$4="","",VLOOKUP('Subcases Monthly'!$D$4,'NOAs by Court Division'!$A$4:$EJ$70,95,FALSE))</f>
        <v>0</v>
      </c>
      <c r="O42" s="256">
        <f>IF('Subcases Monthly'!$D$4="","",VLOOKUP('Subcases Monthly'!$D$4,'NOAs by Court Division'!$A$4:$EJ$70,96,FALSE))</f>
        <v>0</v>
      </c>
      <c r="P42" s="257">
        <f>IF('Subcases Monthly'!$D$4="","",VLOOKUP('Subcases Monthly'!$D$4,'NOAs by Court Division'!$A$4:$EJ$70,97,FALSE))</f>
        <v>0</v>
      </c>
      <c r="Q42" s="157">
        <f t="shared" si="8"/>
        <v>3</v>
      </c>
    </row>
    <row r="43" spans="1:17" ht="19.5" customHeight="1" x14ac:dyDescent="0.2">
      <c r="B43" s="494" t="s">
        <v>229</v>
      </c>
      <c r="C43" s="461"/>
      <c r="D43" s="461"/>
      <c r="E43" s="141">
        <v>5</v>
      </c>
      <c r="F43" s="142">
        <v>4</v>
      </c>
      <c r="G43" s="142">
        <v>2</v>
      </c>
      <c r="H43" s="142">
        <v>4</v>
      </c>
      <c r="I43" s="142">
        <f>IF('Subcases Monthly'!$D$4="","",VLOOKUP('Subcases Monthly'!$D$4,'NOAs by Court Division'!$A$4:$EJ$70,104,FALSE))</f>
        <v>0</v>
      </c>
      <c r="J43" s="142">
        <f>IF('Subcases Monthly'!$D$4="","",VLOOKUP('Subcases Monthly'!$D$4,'NOAs by Court Division'!$A$4:$EJ$70,119,FALSE))</f>
        <v>0</v>
      </c>
      <c r="K43" s="142">
        <f>IF('Subcases Monthly'!$D$4="","",VLOOKUP('Subcases Monthly'!$D$4,'NOAs by Court Division'!$A$4:$EJ$70,106,FALSE))</f>
        <v>0</v>
      </c>
      <c r="L43" s="142">
        <f>IF('Subcases Monthly'!$D$4="","",VLOOKUP('Subcases Monthly'!$D$4,'NOAs by Court Division'!$A$4:$EJ$70,107,FALSE))</f>
        <v>0</v>
      </c>
      <c r="M43" s="142">
        <f>IF('Subcases Monthly'!$D$4="","",VLOOKUP('Subcases Monthly'!$D$4,'NOAs by Court Division'!$A$4:$EJ$70,108,FALSE))</f>
        <v>0</v>
      </c>
      <c r="N43" s="142">
        <f>IF('Subcases Monthly'!$D$4="","",VLOOKUP('Subcases Monthly'!$D$4,'NOAs by Court Division'!$A$4:$EJ$70,109,FALSE))</f>
        <v>0</v>
      </c>
      <c r="O43" s="142">
        <f>IF('Subcases Monthly'!$D$4="","",VLOOKUP('Subcases Monthly'!$D$4,'NOAs by Court Division'!$A$4:$EJ$70,110,FALSE))</f>
        <v>0</v>
      </c>
      <c r="P43" s="254">
        <f>IF('Subcases Monthly'!$D$4="","",VLOOKUP('Subcases Monthly'!$D$4,'NOAs by Court Division'!$A$4:$EJ$70,111,FALSE))</f>
        <v>0</v>
      </c>
      <c r="Q43" s="157">
        <f t="shared" si="8"/>
        <v>15</v>
      </c>
    </row>
    <row r="44" spans="1:17" ht="19.5" customHeight="1" x14ac:dyDescent="0.2">
      <c r="B44" s="494" t="s">
        <v>139</v>
      </c>
      <c r="C44" s="461"/>
      <c r="D44" s="461"/>
      <c r="E44" s="255">
        <v>0</v>
      </c>
      <c r="F44" s="256">
        <v>1</v>
      </c>
      <c r="G44" s="256">
        <v>0</v>
      </c>
      <c r="H44" s="256">
        <v>1</v>
      </c>
      <c r="I44" s="256">
        <f>IF('Subcases Monthly'!$D$4="","",VLOOKUP('Subcases Monthly'!$D$4,'NOAs by Court Division'!$A$4:$EJ$70,118,FALSE))</f>
        <v>0</v>
      </c>
      <c r="J44" s="256">
        <f>IF('Subcases Monthly'!$D$4="","",VLOOKUP('Subcases Monthly'!$D$4,'NOAs by Court Division'!$A$4:$EJ$70,41,FALSE))</f>
        <v>0</v>
      </c>
      <c r="K44" s="256">
        <f>IF('Subcases Monthly'!$D$4="","",VLOOKUP('Subcases Monthly'!$D$4,'NOAs by Court Division'!$A$4:$EJ$70,120,FALSE))</f>
        <v>0</v>
      </c>
      <c r="L44" s="256">
        <f>IF('Subcases Monthly'!$D$4="","",VLOOKUP('Subcases Monthly'!$D$4,'NOAs by Court Division'!$A$4:$EJ$70,121,FALSE))</f>
        <v>0</v>
      </c>
      <c r="M44" s="256">
        <f>IF('Subcases Monthly'!$D$4="","",VLOOKUP('Subcases Monthly'!$D$4,'NOAs by Court Division'!$A$4:$EJ$70,122,FALSE))</f>
        <v>0</v>
      </c>
      <c r="N44" s="256">
        <f>IF('Subcases Monthly'!$D$4="","",VLOOKUP('Subcases Monthly'!$D$4,'NOAs by Court Division'!$A$4:$EJ$70,123,FALSE))</f>
        <v>0</v>
      </c>
      <c r="O44" s="256">
        <f>IF('Subcases Monthly'!$D$4="","",VLOOKUP('Subcases Monthly'!$D$4,'NOAs by Court Division'!$A$4:$EJ$70,124,FALSE))</f>
        <v>0</v>
      </c>
      <c r="P44" s="257">
        <f>IF('Subcases Monthly'!$D$4="","",VLOOKUP('Subcases Monthly'!$D$4,'NOAs by Court Division'!$A$4:$EJ$70,125,FALSE))</f>
        <v>0</v>
      </c>
      <c r="Q44" s="157">
        <f t="shared" si="8"/>
        <v>2</v>
      </c>
    </row>
    <row r="45" spans="1:17" ht="19.5" customHeight="1" thickBot="1" x14ac:dyDescent="0.25">
      <c r="B45" s="497" t="s">
        <v>138</v>
      </c>
      <c r="C45" s="469"/>
      <c r="D45" s="470"/>
      <c r="E45" s="141">
        <f>IF('Subcases Monthly'!$D$4="","",VLOOKUP('Subcases Monthly'!$D$4,'NOAs by Court Division'!$A$4:$EJ$70,128,FALSE))</f>
        <v>0</v>
      </c>
      <c r="F45" s="142">
        <v>0</v>
      </c>
      <c r="G45" s="142">
        <v>0</v>
      </c>
      <c r="H45" s="142">
        <f>IF('Subcases Monthly'!$D$4="","",VLOOKUP('Subcases Monthly'!$D$4,'NOAs by Court Division'!$A$4:$EJ$70,131,FALSE))</f>
        <v>0</v>
      </c>
      <c r="I45" s="142">
        <f>IF('Subcases Monthly'!$D$4="","",VLOOKUP('Subcases Monthly'!$D$4,'NOAs by Court Division'!$A$4:$EJ$70,132,FALSE))</f>
        <v>0</v>
      </c>
      <c r="J45" s="142">
        <f>IF('Subcases Monthly'!$D$4="","",VLOOKUP('Subcases Monthly'!$D$4,'NOAs by Court Division'!$A$4:$EJ$70,133,FALSE))</f>
        <v>0</v>
      </c>
      <c r="K45" s="142">
        <f>IF('Subcases Monthly'!$D$4="","",VLOOKUP('Subcases Monthly'!$D$4,'NOAs by Court Division'!$A$4:$EJ$70,134,FALSE))</f>
        <v>0</v>
      </c>
      <c r="L45" s="142">
        <f>IF('Subcases Monthly'!$D$4="","",VLOOKUP('Subcases Monthly'!$D$4,'NOAs by Court Division'!$A$4:$EJ$70,135,FALSE))</f>
        <v>0</v>
      </c>
      <c r="M45" s="142">
        <f>IF('Subcases Monthly'!$D$4="","",VLOOKUP('Subcases Monthly'!$D$4,'NOAs by Court Division'!$A$4:$EJ$70,136,FALSE))</f>
        <v>0</v>
      </c>
      <c r="N45" s="142">
        <f>IF('Subcases Monthly'!$D$4="","",VLOOKUP('Subcases Monthly'!$D$4,'NOAs by Court Division'!$A$4:$EJ$70,137,FALSE))</f>
        <v>0</v>
      </c>
      <c r="O45" s="142">
        <f>IF('Subcases Monthly'!$D$4="","",VLOOKUP('Subcases Monthly'!$D$4,'NOAs by Court Division'!$A$4:$EJ$70,138,FALSE))</f>
        <v>0</v>
      </c>
      <c r="P45" s="254">
        <f>IF('Subcases Monthly'!$D$4="","",VLOOKUP('Subcases Monthly'!$D$4,'NOAs by Court Division'!$A$4:$EJ$70,139,FALSE))</f>
        <v>0</v>
      </c>
      <c r="Q45" s="161">
        <f t="shared" si="8"/>
        <v>0</v>
      </c>
    </row>
    <row r="46" spans="1:17" s="13" customFormat="1" ht="19.5" customHeight="1" thickTop="1" thickBot="1" x14ac:dyDescent="0.25">
      <c r="B46" s="498" t="str">
        <f>"TOTAL "&amp;C35&amp;" ="</f>
        <v>TOTAL NOAs =</v>
      </c>
      <c r="C46" s="471"/>
      <c r="D46" s="472"/>
      <c r="E46" s="211">
        <f t="shared" ref="E46:P46" si="9">SUM(E36:E45)</f>
        <v>43</v>
      </c>
      <c r="F46" s="212">
        <f t="shared" si="9"/>
        <v>49</v>
      </c>
      <c r="G46" s="212">
        <f t="shared" si="9"/>
        <v>30</v>
      </c>
      <c r="H46" s="212">
        <f t="shared" si="9"/>
        <v>49</v>
      </c>
      <c r="I46" s="212">
        <f t="shared" si="9"/>
        <v>0</v>
      </c>
      <c r="J46" s="212">
        <f t="shared" si="9"/>
        <v>0</v>
      </c>
      <c r="K46" s="212">
        <f t="shared" si="9"/>
        <v>0</v>
      </c>
      <c r="L46" s="212">
        <f t="shared" si="9"/>
        <v>0</v>
      </c>
      <c r="M46" s="212">
        <f t="shared" si="9"/>
        <v>0</v>
      </c>
      <c r="N46" s="212">
        <f t="shared" si="9"/>
        <v>0</v>
      </c>
      <c r="O46" s="212">
        <f t="shared" si="9"/>
        <v>0</v>
      </c>
      <c r="P46" s="248">
        <f t="shared" si="9"/>
        <v>0</v>
      </c>
      <c r="Q46" s="262">
        <f t="shared" si="8"/>
        <v>171</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09" t="s">
        <v>244</v>
      </c>
      <c r="B1" s="509"/>
      <c r="C1" s="509"/>
      <c r="D1" s="509"/>
      <c r="E1" s="509"/>
      <c r="F1" s="509"/>
    </row>
    <row r="2" spans="1:19" ht="24" customHeight="1" x14ac:dyDescent="0.2">
      <c r="A2" s="509" t="str">
        <f>'Subcases Monthly'!A2</f>
        <v>County Fiscal Year 2024-2025</v>
      </c>
      <c r="B2" s="509"/>
      <c r="C2" s="509"/>
      <c r="D2" s="509"/>
    </row>
    <row r="3" spans="1:19" ht="24" customHeight="1" x14ac:dyDescent="0.2">
      <c r="N3"/>
      <c r="O3"/>
    </row>
    <row r="4" spans="1:19" ht="21" customHeight="1" x14ac:dyDescent="0.2">
      <c r="A4" s="6"/>
      <c r="C4" s="21" t="s">
        <v>2</v>
      </c>
      <c r="D4" s="499" t="str">
        <f>IF('Subcases Monthly'!D4="","",'Subcases Monthly'!D4)</f>
        <v>Brevard</v>
      </c>
      <c r="E4" s="499"/>
      <c r="F4" s="6"/>
      <c r="G4" s="21" t="s">
        <v>303</v>
      </c>
      <c r="H4" s="477" t="s">
        <v>382</v>
      </c>
      <c r="I4" s="477"/>
      <c r="K4" s="21" t="s">
        <v>3</v>
      </c>
      <c r="L4" s="164">
        <v>1</v>
      </c>
      <c r="N4"/>
      <c r="O4"/>
      <c r="R4" s="510" t="s">
        <v>1909</v>
      </c>
      <c r="S4" s="510"/>
    </row>
    <row r="5" spans="1:19" ht="21" customHeight="1" x14ac:dyDescent="0.3">
      <c r="A5" s="6"/>
      <c r="C5" s="21" t="s">
        <v>73</v>
      </c>
      <c r="D5" s="511" t="str">
        <f>IF('Subcases Monthly'!D5="","",'Subcases Monthly'!D5)</f>
        <v xml:space="preserve">Carol Vail </v>
      </c>
      <c r="E5" s="511"/>
      <c r="F5" s="6"/>
      <c r="N5" s="7"/>
      <c r="R5" s="510"/>
      <c r="S5" s="510"/>
    </row>
    <row r="6" spans="1:19" ht="21" customHeight="1" x14ac:dyDescent="0.2">
      <c r="A6" s="6"/>
      <c r="C6" s="21" t="s">
        <v>84</v>
      </c>
      <c r="D6" s="499" t="str">
        <f>IF('Subcases Monthly'!D6="","",'Subcases Monthly'!D6)</f>
        <v>carol.vail@brevardclerk.us</v>
      </c>
      <c r="E6" s="499"/>
      <c r="F6" s="6"/>
      <c r="G6" s="62"/>
      <c r="H6" s="62"/>
      <c r="I6" s="62"/>
      <c r="L6"/>
      <c r="M6"/>
      <c r="N6"/>
      <c r="O6"/>
      <c r="P6"/>
      <c r="Q6"/>
    </row>
    <row r="7" spans="1:19" ht="21" customHeight="1" x14ac:dyDescent="0.2">
      <c r="A7" s="6"/>
      <c r="L7"/>
      <c r="M7"/>
      <c r="N7"/>
      <c r="O7"/>
    </row>
    <row r="8" spans="1:19" ht="19.5" customHeight="1" thickBot="1" x14ac:dyDescent="0.25">
      <c r="A8" s="528" t="s">
        <v>245</v>
      </c>
      <c r="B8" s="528"/>
      <c r="C8" s="528"/>
      <c r="D8" s="528"/>
      <c r="E8" s="18" t="s">
        <v>246</v>
      </c>
      <c r="L8" s="17" t="s">
        <v>254</v>
      </c>
    </row>
    <row r="9" spans="1:19" ht="27" customHeight="1" thickBot="1" x14ac:dyDescent="0.25">
      <c r="A9" s="17"/>
      <c r="B9" s="17"/>
      <c r="C9" s="17"/>
      <c r="D9" s="17"/>
      <c r="E9" s="524" t="s">
        <v>233</v>
      </c>
      <c r="F9" s="526"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56" t="s">
        <v>253</v>
      </c>
      <c r="L9" s="515" t="str">
        <f t="shared" ref="L9:M9" si="0">TEXT(DATE(LEFT(RIGHT($A$2,9),4),10,1),"m/d/yy")&amp;" - "&amp;TEXT(DATE(LEFT(RIGHT($A$2,9),4),12,31),"m/d/yy")</f>
        <v>10/1/24 - 12/31/24</v>
      </c>
      <c r="M9" s="516" t="str">
        <f t="shared" si="0"/>
        <v>10/1/24 - 12/31/24</v>
      </c>
      <c r="N9" s="515" t="str">
        <f t="shared" ref="N9:O9" si="1">TEXT(DATE(RIGHT($A$2,4),1,1),"m/d/yy")&amp;" - "&amp;TEXT(DATE(RIGHT($A$2,4),3,31),"m/d/yy")</f>
        <v>1/1/25 - 3/31/25</v>
      </c>
      <c r="O9" s="516" t="str">
        <f t="shared" si="1"/>
        <v>1/1/25 - 3/31/25</v>
      </c>
      <c r="P9" s="515" t="str">
        <f t="shared" ref="P9:Q9" si="2">TEXT(DATE(RIGHT($A$2,4),4,1),"m/d/yy")&amp;" - "&amp;TEXT(DATE(RIGHT($A$2,4),6,30),"m/d/yy")</f>
        <v>4/1/25 - 6/30/25</v>
      </c>
      <c r="Q9" s="517" t="str">
        <f t="shared" si="2"/>
        <v>4/1/25 - 6/30/25</v>
      </c>
      <c r="R9" s="532" t="str">
        <f t="shared" ref="R9:S9" si="3">TEXT(DATE(RIGHT($A$2,4),7,1),"m/d/yy")&amp;" - "&amp;TEXT(DATE(RIGHT($A$2,4),9,30),"m/d/yy")</f>
        <v>7/1/25 - 9/30/25</v>
      </c>
      <c r="S9" s="533" t="str">
        <f t="shared" si="3"/>
        <v>7/1/25 - 9/30/25</v>
      </c>
    </row>
    <row r="10" spans="1:19" ht="19.5" customHeight="1" thickBot="1" x14ac:dyDescent="0.25">
      <c r="B10" s="17"/>
      <c r="C10" s="552"/>
      <c r="D10" s="553"/>
      <c r="E10" s="525"/>
      <c r="F10" s="527"/>
      <c r="G10" s="170" t="s">
        <v>249</v>
      </c>
      <c r="H10" s="171" t="s">
        <v>250</v>
      </c>
      <c r="I10" s="171" t="s">
        <v>251</v>
      </c>
      <c r="J10" s="172" t="s">
        <v>252</v>
      </c>
      <c r="K10" s="557"/>
      <c r="L10" s="165" t="s">
        <v>234</v>
      </c>
      <c r="M10" s="166" t="s">
        <v>242</v>
      </c>
      <c r="N10" s="165" t="s">
        <v>234</v>
      </c>
      <c r="O10" s="166" t="s">
        <v>242</v>
      </c>
      <c r="P10" s="165" t="s">
        <v>234</v>
      </c>
      <c r="Q10" s="166" t="s">
        <v>242</v>
      </c>
      <c r="R10" s="165" t="s">
        <v>234</v>
      </c>
      <c r="S10" s="166" t="s">
        <v>242</v>
      </c>
    </row>
    <row r="11" spans="1:19" ht="19.5" customHeight="1" x14ac:dyDescent="0.2">
      <c r="B11" s="518" t="s">
        <v>399</v>
      </c>
      <c r="C11" s="519"/>
      <c r="D11" s="114" t="s">
        <v>241</v>
      </c>
      <c r="E11" s="529">
        <v>0.8</v>
      </c>
      <c r="F11" s="512" t="s">
        <v>255</v>
      </c>
      <c r="G11" s="78">
        <f>SUM('Outputs Monthly'!E10:G10)</f>
        <v>1577</v>
      </c>
      <c r="H11" s="79">
        <f>SUM('Outputs Monthly'!H10:J10)</f>
        <v>550</v>
      </c>
      <c r="I11" s="79">
        <f>SUM('Outputs Monthly'!K10:M10)</f>
        <v>0</v>
      </c>
      <c r="J11" s="80">
        <f>SUM('Outputs Monthly'!N10:P10)</f>
        <v>0</v>
      </c>
      <c r="K11" s="81">
        <f>SUM(G11:J11)</f>
        <v>2127</v>
      </c>
      <c r="L11" s="534"/>
      <c r="M11" s="537"/>
      <c r="N11" s="540"/>
      <c r="O11" s="537"/>
      <c r="P11" s="540"/>
      <c r="Q11" s="546"/>
      <c r="R11" s="543"/>
      <c r="S11" s="549"/>
    </row>
    <row r="12" spans="1:19" ht="19.5" customHeight="1" thickBot="1" x14ac:dyDescent="0.25">
      <c r="B12" s="520"/>
      <c r="C12" s="521"/>
      <c r="D12" s="113" t="s">
        <v>247</v>
      </c>
      <c r="E12" s="530"/>
      <c r="F12" s="513"/>
      <c r="G12" s="82">
        <v>1540</v>
      </c>
      <c r="H12" s="83">
        <v>537</v>
      </c>
      <c r="I12" s="83">
        <f>IF('Subcases Monthly'!$D$4="","",VLOOKUP('Subcases Monthly'!$D$4,'Timeliness Performance'!$A$4:$DQ$70,4,FALSE))</f>
        <v>0</v>
      </c>
      <c r="J12" s="84"/>
      <c r="K12" s="85">
        <f>SUM(G12:J12)</f>
        <v>2077</v>
      </c>
      <c r="L12" s="535"/>
      <c r="M12" s="538"/>
      <c r="N12" s="541"/>
      <c r="O12" s="538"/>
      <c r="P12" s="541"/>
      <c r="Q12" s="547"/>
      <c r="R12" s="544"/>
      <c r="S12" s="550"/>
    </row>
    <row r="13" spans="1:19" ht="19.5" customHeight="1" thickTop="1" thickBot="1" x14ac:dyDescent="0.25">
      <c r="B13" s="522"/>
      <c r="C13" s="523"/>
      <c r="D13" s="30" t="s">
        <v>236</v>
      </c>
      <c r="E13" s="531"/>
      <c r="F13" s="514"/>
      <c r="G13" s="86">
        <f>IF(G11=0,1,IFERROR(ROUND(G12/G11,4),0))</f>
        <v>0.97650000000000003</v>
      </c>
      <c r="H13" s="87">
        <f t="shared" ref="H13:K13" si="4">IF(H11=0,1,IFERROR(ROUND(H12/H11,4),0))</f>
        <v>0.97640000000000005</v>
      </c>
      <c r="I13" s="87">
        <f t="shared" si="4"/>
        <v>1</v>
      </c>
      <c r="J13" s="88">
        <f t="shared" si="4"/>
        <v>1</v>
      </c>
      <c r="K13" s="89">
        <f t="shared" si="4"/>
        <v>0.97650000000000003</v>
      </c>
      <c r="L13" s="536"/>
      <c r="M13" s="539"/>
      <c r="N13" s="542"/>
      <c r="O13" s="539"/>
      <c r="P13" s="542"/>
      <c r="Q13" s="548"/>
      <c r="R13" s="545"/>
      <c r="S13" s="551"/>
    </row>
    <row r="14" spans="1:19" customFormat="1" ht="19.5" customHeight="1" x14ac:dyDescent="0.2">
      <c r="B14" s="518" t="s">
        <v>398</v>
      </c>
      <c r="C14" s="519"/>
      <c r="D14" s="114" t="s">
        <v>241</v>
      </c>
      <c r="E14" s="529">
        <v>0.8</v>
      </c>
      <c r="F14" s="512" t="s">
        <v>256</v>
      </c>
      <c r="G14" s="78">
        <f>SUM('Outputs Monthly'!E11:G11)</f>
        <v>1636</v>
      </c>
      <c r="H14" s="79">
        <f>SUM('Outputs Monthly'!H11:J11)</f>
        <v>508</v>
      </c>
      <c r="I14" s="79">
        <f>SUM('Outputs Monthly'!K11:M11)</f>
        <v>0</v>
      </c>
      <c r="J14" s="80">
        <f>SUM('Outputs Monthly'!N11:P11)</f>
        <v>0</v>
      </c>
      <c r="K14" s="81">
        <f>SUM(G14:J14)</f>
        <v>2144</v>
      </c>
      <c r="L14" s="534"/>
      <c r="M14" s="537"/>
      <c r="N14" s="540"/>
      <c r="O14" s="537"/>
      <c r="P14" s="540"/>
      <c r="Q14" s="546"/>
      <c r="R14" s="543"/>
      <c r="S14" s="549"/>
    </row>
    <row r="15" spans="1:19" customFormat="1" ht="19.5" customHeight="1" thickBot="1" x14ac:dyDescent="0.25">
      <c r="B15" s="520"/>
      <c r="C15" s="521"/>
      <c r="D15" s="113" t="s">
        <v>259</v>
      </c>
      <c r="E15" s="530"/>
      <c r="F15" s="513"/>
      <c r="G15" s="82">
        <v>1599</v>
      </c>
      <c r="H15" s="83">
        <v>483</v>
      </c>
      <c r="I15" s="83">
        <f>IF('Subcases Monthly'!$D$4="","",VLOOKUP('Subcases Monthly'!$D$4,'Timeliness Performance'!$A$4:$DQ$70,8,FALSE))</f>
        <v>0</v>
      </c>
      <c r="J15" s="84"/>
      <c r="K15" s="85">
        <f>SUM(G15:J15)</f>
        <v>2082</v>
      </c>
      <c r="L15" s="535"/>
      <c r="M15" s="538"/>
      <c r="N15" s="541"/>
      <c r="O15" s="538"/>
      <c r="P15" s="541"/>
      <c r="Q15" s="547"/>
      <c r="R15" s="544"/>
      <c r="S15" s="550"/>
    </row>
    <row r="16" spans="1:19" customFormat="1" ht="19.5" customHeight="1" thickTop="1" thickBot="1" x14ac:dyDescent="0.25">
      <c r="B16" s="522"/>
      <c r="C16" s="523"/>
      <c r="D16" s="30" t="s">
        <v>236</v>
      </c>
      <c r="E16" s="531"/>
      <c r="F16" s="514"/>
      <c r="G16" s="86">
        <f>IF(G14=0,1,IFERROR(ROUND(G15/G14,4),0))</f>
        <v>0.97740000000000005</v>
      </c>
      <c r="H16" s="87">
        <f t="shared" ref="H16" si="5">IF(H14=0,1,IFERROR(ROUND(H15/H14,4),0))</f>
        <v>0.95079999999999998</v>
      </c>
      <c r="I16" s="87">
        <f t="shared" ref="I16" si="6">IF(I14=0,1,IFERROR(ROUND(I15/I14,4),0))</f>
        <v>1</v>
      </c>
      <c r="J16" s="88">
        <f t="shared" ref="J16" si="7">IF(J14=0,1,IFERROR(ROUND(J15/J14,4),0))</f>
        <v>1</v>
      </c>
      <c r="K16" s="89">
        <f t="shared" ref="K16" si="8">IF(K14=0,1,IFERROR(ROUND(K15/K14,4),0))</f>
        <v>0.97109999999999996</v>
      </c>
      <c r="L16" s="536"/>
      <c r="M16" s="539"/>
      <c r="N16" s="542"/>
      <c r="O16" s="539"/>
      <c r="P16" s="542"/>
      <c r="Q16" s="548"/>
      <c r="R16" s="545"/>
      <c r="S16" s="551"/>
    </row>
    <row r="17" spans="2:19" customFormat="1" ht="19.5" customHeight="1" x14ac:dyDescent="0.2">
      <c r="B17" s="518" t="s">
        <v>400</v>
      </c>
      <c r="C17" s="519"/>
      <c r="D17" s="114" t="s">
        <v>241</v>
      </c>
      <c r="E17" s="529">
        <v>0.8</v>
      </c>
      <c r="F17" s="512" t="s">
        <v>255</v>
      </c>
      <c r="G17" s="78">
        <f>SUM('Outputs Monthly'!E12:G12)</f>
        <v>271</v>
      </c>
      <c r="H17" s="79">
        <f>SUM('Outputs Monthly'!H12:J12)</f>
        <v>71</v>
      </c>
      <c r="I17" s="79">
        <f>SUM('Outputs Monthly'!K12:M12)</f>
        <v>0</v>
      </c>
      <c r="J17" s="80">
        <f>SUM('Outputs Monthly'!N12:P12)</f>
        <v>0</v>
      </c>
      <c r="K17" s="81">
        <f>SUM(G17:J17)</f>
        <v>342</v>
      </c>
      <c r="L17" s="534"/>
      <c r="M17" s="537"/>
      <c r="N17" s="540"/>
      <c r="O17" s="537"/>
      <c r="P17" s="540"/>
      <c r="Q17" s="546"/>
      <c r="R17" s="543"/>
      <c r="S17" s="549"/>
    </row>
    <row r="18" spans="2:19" customFormat="1" ht="19.5" customHeight="1" thickBot="1" x14ac:dyDescent="0.25">
      <c r="B18" s="520"/>
      <c r="C18" s="521"/>
      <c r="D18" s="113" t="s">
        <v>247</v>
      </c>
      <c r="E18" s="530"/>
      <c r="F18" s="513"/>
      <c r="G18" s="82">
        <v>266</v>
      </c>
      <c r="H18" s="83">
        <v>69</v>
      </c>
      <c r="I18" s="83">
        <f>IF('Subcases Monthly'!$D$4="","",VLOOKUP('Subcases Monthly'!$D$4,'Timeliness Performance'!$A$4:$DQ$70,12,FALSE))</f>
        <v>0</v>
      </c>
      <c r="J18" s="84"/>
      <c r="K18" s="85">
        <f>SUM(G18:J18)</f>
        <v>335</v>
      </c>
      <c r="L18" s="535"/>
      <c r="M18" s="538"/>
      <c r="N18" s="541"/>
      <c r="O18" s="538"/>
      <c r="P18" s="541"/>
      <c r="Q18" s="547"/>
      <c r="R18" s="544"/>
      <c r="S18" s="550"/>
    </row>
    <row r="19" spans="2:19" customFormat="1" ht="19.5" customHeight="1" thickTop="1" thickBot="1" x14ac:dyDescent="0.25">
      <c r="B19" s="522"/>
      <c r="C19" s="523"/>
      <c r="D19" s="30" t="s">
        <v>236</v>
      </c>
      <c r="E19" s="531"/>
      <c r="F19" s="514"/>
      <c r="G19" s="86">
        <f>IF(G17=0,1,IFERROR(ROUND(G18/G17,4),0))</f>
        <v>0.98150000000000004</v>
      </c>
      <c r="H19" s="87">
        <f t="shared" ref="H19" si="9">IF(H17=0,1,IFERROR(ROUND(H18/H17,4),0))</f>
        <v>0.9718</v>
      </c>
      <c r="I19" s="87">
        <f t="shared" ref="I19" si="10">IF(I17=0,1,IFERROR(ROUND(I18/I17,4),0))</f>
        <v>1</v>
      </c>
      <c r="J19" s="88">
        <f t="shared" ref="J19" si="11">IF(J17=0,1,IFERROR(ROUND(J18/J17,4),0))</f>
        <v>1</v>
      </c>
      <c r="K19" s="89">
        <f t="shared" ref="K19" si="12">IF(K17=0,1,IFERROR(ROUND(K18/K17,4),0))</f>
        <v>0.97950000000000004</v>
      </c>
      <c r="L19" s="536"/>
      <c r="M19" s="539"/>
      <c r="N19" s="542"/>
      <c r="O19" s="539"/>
      <c r="P19" s="542"/>
      <c r="Q19" s="548"/>
      <c r="R19" s="545"/>
      <c r="S19" s="551"/>
    </row>
    <row r="20" spans="2:19" customFormat="1" ht="19.5" customHeight="1" x14ac:dyDescent="0.2">
      <c r="B20" s="518" t="s">
        <v>257</v>
      </c>
      <c r="C20" s="519"/>
      <c r="D20" s="114" t="s">
        <v>258</v>
      </c>
      <c r="E20" s="529">
        <v>0.8</v>
      </c>
      <c r="F20" s="512" t="s">
        <v>256</v>
      </c>
      <c r="G20" s="78">
        <f>SUM('Outputs Monthly'!E13:G13)</f>
        <v>2154</v>
      </c>
      <c r="H20" s="79">
        <f>SUM('Outputs Monthly'!H13:J13)</f>
        <v>830</v>
      </c>
      <c r="I20" s="79">
        <f>SUM('Outputs Monthly'!K13:M13)</f>
        <v>0</v>
      </c>
      <c r="J20" s="80">
        <f>SUM('Outputs Monthly'!N13:P13)</f>
        <v>0</v>
      </c>
      <c r="K20" s="81">
        <f>SUM(G20:J20)</f>
        <v>2984</v>
      </c>
      <c r="L20" s="534"/>
      <c r="M20" s="537"/>
      <c r="N20" s="540"/>
      <c r="O20" s="537"/>
      <c r="P20" s="540"/>
      <c r="Q20" s="546"/>
      <c r="R20" s="543"/>
      <c r="S20" s="549"/>
    </row>
    <row r="21" spans="2:19" customFormat="1" ht="19.5" customHeight="1" thickBot="1" x14ac:dyDescent="0.25">
      <c r="B21" s="520"/>
      <c r="C21" s="521"/>
      <c r="D21" s="113" t="s">
        <v>259</v>
      </c>
      <c r="E21" s="530"/>
      <c r="F21" s="513"/>
      <c r="G21" s="82">
        <v>2074</v>
      </c>
      <c r="H21" s="83">
        <v>793</v>
      </c>
      <c r="I21" s="83">
        <f>IF('Subcases Monthly'!$D$4="","",VLOOKUP('Subcases Monthly'!$D$4,'Timeliness Performance'!$A$4:$DQ$70,16,FALSE))</f>
        <v>0</v>
      </c>
      <c r="J21" s="84"/>
      <c r="K21" s="85">
        <f>SUM(G21:J21)</f>
        <v>2867</v>
      </c>
      <c r="L21" s="535"/>
      <c r="M21" s="538"/>
      <c r="N21" s="541"/>
      <c r="O21" s="538"/>
      <c r="P21" s="541"/>
      <c r="Q21" s="547"/>
      <c r="R21" s="544"/>
      <c r="S21" s="550"/>
    </row>
    <row r="22" spans="2:19" customFormat="1" ht="19.5" customHeight="1" thickTop="1" thickBot="1" x14ac:dyDescent="0.25">
      <c r="B22" s="522"/>
      <c r="C22" s="523"/>
      <c r="D22" s="30" t="s">
        <v>236</v>
      </c>
      <c r="E22" s="531"/>
      <c r="F22" s="514"/>
      <c r="G22" s="86">
        <f>IF(G20=0,1,IFERROR(ROUND(G21/G20,4),0))</f>
        <v>0.96289999999999998</v>
      </c>
      <c r="H22" s="87">
        <f t="shared" ref="H22" si="13">IF(H20=0,1,IFERROR(ROUND(H21/H20,4),0))</f>
        <v>0.95540000000000003</v>
      </c>
      <c r="I22" s="87">
        <f t="shared" ref="I22" si="14">IF(I20=0,1,IFERROR(ROUND(I21/I20,4),0))</f>
        <v>1</v>
      </c>
      <c r="J22" s="88">
        <f t="shared" ref="J22" si="15">IF(J20=0,1,IFERROR(ROUND(J21/J20,4),0))</f>
        <v>1</v>
      </c>
      <c r="K22" s="89">
        <f t="shared" ref="K22" si="16">IF(K20=0,1,IFERROR(ROUND(K21/K20,4),0))</f>
        <v>0.96079999999999999</v>
      </c>
      <c r="L22" s="536"/>
      <c r="M22" s="539"/>
      <c r="N22" s="542"/>
      <c r="O22" s="539"/>
      <c r="P22" s="542"/>
      <c r="Q22" s="548"/>
      <c r="R22" s="545"/>
      <c r="S22" s="551"/>
    </row>
    <row r="23" spans="2:19" customFormat="1" ht="19.5" customHeight="1" x14ac:dyDescent="0.2">
      <c r="B23" s="518" t="s">
        <v>260</v>
      </c>
      <c r="C23" s="519"/>
      <c r="D23" s="114" t="s">
        <v>241</v>
      </c>
      <c r="E23" s="529">
        <v>0.8</v>
      </c>
      <c r="F23" s="512" t="s">
        <v>255</v>
      </c>
      <c r="G23" s="78">
        <f>SUM('Outputs Monthly'!E14:G14)</f>
        <v>833</v>
      </c>
      <c r="H23" s="79">
        <f>SUM('Outputs Monthly'!H14:J14)</f>
        <v>262</v>
      </c>
      <c r="I23" s="79">
        <f>SUM('Outputs Monthly'!K14:M14)</f>
        <v>0</v>
      </c>
      <c r="J23" s="80">
        <f>SUM('Outputs Monthly'!N14:P14)</f>
        <v>0</v>
      </c>
      <c r="K23" s="81">
        <f>SUM(G23:J23)</f>
        <v>1095</v>
      </c>
      <c r="L23" s="534"/>
      <c r="M23" s="537"/>
      <c r="N23" s="540" t="s">
        <v>237</v>
      </c>
      <c r="O23" s="537" t="s">
        <v>1913</v>
      </c>
      <c r="P23" s="540"/>
      <c r="Q23" s="546"/>
      <c r="R23" s="543"/>
      <c r="S23" s="549"/>
    </row>
    <row r="24" spans="2:19" customFormat="1" ht="19.5" customHeight="1" thickBot="1" x14ac:dyDescent="0.25">
      <c r="B24" s="520"/>
      <c r="C24" s="521"/>
      <c r="D24" s="113" t="s">
        <v>247</v>
      </c>
      <c r="E24" s="530"/>
      <c r="F24" s="513"/>
      <c r="G24" s="82">
        <v>697</v>
      </c>
      <c r="H24" s="83">
        <v>143</v>
      </c>
      <c r="I24" s="83">
        <f>IF('Subcases Monthly'!$D$4="","",VLOOKUP('Subcases Monthly'!$D$4,'Timeliness Performance'!$A$4:$DQ$70,20,FALSE))</f>
        <v>0</v>
      </c>
      <c r="J24" s="84"/>
      <c r="K24" s="85">
        <f>SUM(G24:J24)</f>
        <v>840</v>
      </c>
      <c r="L24" s="535"/>
      <c r="M24" s="538"/>
      <c r="N24" s="541"/>
      <c r="O24" s="538"/>
      <c r="P24" s="541"/>
      <c r="Q24" s="547"/>
      <c r="R24" s="544"/>
      <c r="S24" s="550"/>
    </row>
    <row r="25" spans="2:19" customFormat="1" ht="19.5" customHeight="1" thickTop="1" thickBot="1" x14ac:dyDescent="0.25">
      <c r="B25" s="522"/>
      <c r="C25" s="523"/>
      <c r="D25" s="30" t="s">
        <v>236</v>
      </c>
      <c r="E25" s="531"/>
      <c r="F25" s="514"/>
      <c r="G25" s="86">
        <f>IF(G23=0,1,IFERROR(ROUND(G24/G23,4),0))</f>
        <v>0.8367</v>
      </c>
      <c r="H25" s="87">
        <f t="shared" ref="H25" si="17">IF(H23=0,1,IFERROR(ROUND(H24/H23,4),0))</f>
        <v>0.54579999999999995</v>
      </c>
      <c r="I25" s="87">
        <f t="shared" ref="I25" si="18">IF(I23=0,1,IFERROR(ROUND(I24/I23,4),0))</f>
        <v>1</v>
      </c>
      <c r="J25" s="88">
        <f t="shared" ref="J25" si="19">IF(J23=0,1,IFERROR(ROUND(J24/J23,4),0))</f>
        <v>1</v>
      </c>
      <c r="K25" s="89">
        <f t="shared" ref="K25" si="20">IF(K23=0,1,IFERROR(ROUND(K24/K23,4),0))</f>
        <v>0.7671</v>
      </c>
      <c r="L25" s="536"/>
      <c r="M25" s="539"/>
      <c r="N25" s="542"/>
      <c r="O25" s="539"/>
      <c r="P25" s="542"/>
      <c r="Q25" s="548"/>
      <c r="R25" s="545"/>
      <c r="S25" s="551"/>
    </row>
    <row r="26" spans="2:19" customFormat="1" ht="19.5" customHeight="1" x14ac:dyDescent="0.2">
      <c r="B26" s="518" t="s">
        <v>261</v>
      </c>
      <c r="C26" s="519"/>
      <c r="D26" s="114" t="s">
        <v>241</v>
      </c>
      <c r="E26" s="529">
        <v>0.8</v>
      </c>
      <c r="F26" s="512" t="s">
        <v>255</v>
      </c>
      <c r="G26" s="78">
        <f>SUM('Outputs Monthly'!E15:G15)</f>
        <v>3544</v>
      </c>
      <c r="H26" s="79">
        <f>SUM('Outputs Monthly'!H15:J15)</f>
        <v>1323</v>
      </c>
      <c r="I26" s="79">
        <f>SUM('Outputs Monthly'!K15:M15)</f>
        <v>0</v>
      </c>
      <c r="J26" s="80">
        <f>SUM('Outputs Monthly'!N15:P15)</f>
        <v>0</v>
      </c>
      <c r="K26" s="81">
        <f>SUM(G26:J26)</f>
        <v>4867</v>
      </c>
      <c r="L26" s="534"/>
      <c r="M26" s="537"/>
      <c r="N26" s="540"/>
      <c r="O26" s="537"/>
      <c r="P26" s="540"/>
      <c r="Q26" s="546"/>
      <c r="R26" s="543"/>
      <c r="S26" s="549"/>
    </row>
    <row r="27" spans="2:19" customFormat="1" ht="19.5" customHeight="1" thickBot="1" x14ac:dyDescent="0.25">
      <c r="B27" s="520"/>
      <c r="C27" s="521"/>
      <c r="D27" s="113" t="s">
        <v>247</v>
      </c>
      <c r="E27" s="530"/>
      <c r="F27" s="513"/>
      <c r="G27" s="82">
        <v>3287</v>
      </c>
      <c r="H27" s="83">
        <v>1125</v>
      </c>
      <c r="I27" s="83">
        <f>IF('Subcases Monthly'!$D$4="","",VLOOKUP('Subcases Monthly'!$D$4,'Timeliness Performance'!$A$4:$DQ$70,24,FALSE))</f>
        <v>0</v>
      </c>
      <c r="J27" s="84"/>
      <c r="K27" s="85">
        <f>SUM(G27:J27)</f>
        <v>4412</v>
      </c>
      <c r="L27" s="535"/>
      <c r="M27" s="538"/>
      <c r="N27" s="541"/>
      <c r="O27" s="538"/>
      <c r="P27" s="541"/>
      <c r="Q27" s="547"/>
      <c r="R27" s="544"/>
      <c r="S27" s="550"/>
    </row>
    <row r="28" spans="2:19" customFormat="1" ht="19.5" customHeight="1" thickTop="1" thickBot="1" x14ac:dyDescent="0.25">
      <c r="B28" s="522"/>
      <c r="C28" s="523"/>
      <c r="D28" s="30" t="s">
        <v>236</v>
      </c>
      <c r="E28" s="531"/>
      <c r="F28" s="514"/>
      <c r="G28" s="86">
        <f>IF(G26=0,1,IFERROR(ROUND(G27/G26,4),0))</f>
        <v>0.92749999999999999</v>
      </c>
      <c r="H28" s="87">
        <f t="shared" ref="H28" si="21">IF(H26=0,1,IFERROR(ROUND(H27/H26,4),0))</f>
        <v>0.85029999999999994</v>
      </c>
      <c r="I28" s="87">
        <f t="shared" ref="I28" si="22">IF(I26=0,1,IFERROR(ROUND(I27/I26,4),0))</f>
        <v>1</v>
      </c>
      <c r="J28" s="88">
        <f t="shared" ref="J28" si="23">IF(J26=0,1,IFERROR(ROUND(J27/J26,4),0))</f>
        <v>1</v>
      </c>
      <c r="K28" s="89">
        <f t="shared" ref="K28" si="24">IF(K26=0,1,IFERROR(ROUND(K27/K26,4),0))</f>
        <v>0.90649999999999997</v>
      </c>
      <c r="L28" s="536"/>
      <c r="M28" s="539"/>
      <c r="N28" s="542"/>
      <c r="O28" s="539"/>
      <c r="P28" s="542"/>
      <c r="Q28" s="548"/>
      <c r="R28" s="545"/>
      <c r="S28" s="551"/>
    </row>
    <row r="29" spans="2:19" customFormat="1" ht="19.5" customHeight="1" x14ac:dyDescent="0.2">
      <c r="B29" s="518" t="s">
        <v>262</v>
      </c>
      <c r="C29" s="519"/>
      <c r="D29" s="114" t="s">
        <v>241</v>
      </c>
      <c r="E29" s="529">
        <v>0.8</v>
      </c>
      <c r="F29" s="512" t="s">
        <v>255</v>
      </c>
      <c r="G29" s="78">
        <f>SUM('Outputs Monthly'!E16:G16)</f>
        <v>1756</v>
      </c>
      <c r="H29" s="79">
        <f>SUM('Outputs Monthly'!H16:J16)</f>
        <v>639</v>
      </c>
      <c r="I29" s="79">
        <f>SUM('Outputs Monthly'!K16:M16)</f>
        <v>0</v>
      </c>
      <c r="J29" s="80">
        <f>SUM('Outputs Monthly'!N16:P16)</f>
        <v>0</v>
      </c>
      <c r="K29" s="81">
        <f>SUM(G29:J29)</f>
        <v>2395</v>
      </c>
      <c r="L29" s="534"/>
      <c r="M29" s="537"/>
      <c r="N29" s="540"/>
      <c r="O29" s="537"/>
      <c r="P29" s="540"/>
      <c r="Q29" s="546"/>
      <c r="R29" s="543"/>
      <c r="S29" s="549"/>
    </row>
    <row r="30" spans="2:19" customFormat="1" ht="19.5" customHeight="1" thickBot="1" x14ac:dyDescent="0.25">
      <c r="B30" s="520"/>
      <c r="C30" s="521"/>
      <c r="D30" s="113" t="s">
        <v>247</v>
      </c>
      <c r="E30" s="530"/>
      <c r="F30" s="513"/>
      <c r="G30" s="82">
        <v>1465</v>
      </c>
      <c r="H30" s="83">
        <v>630</v>
      </c>
      <c r="I30" s="83">
        <f>IF('Subcases Monthly'!$D$4="","",VLOOKUP('Subcases Monthly'!$D$4,'Timeliness Performance'!$A$4:$DQ$70,28,FALSE))</f>
        <v>0</v>
      </c>
      <c r="J30" s="84"/>
      <c r="K30" s="85">
        <f>SUM(G30:J30)</f>
        <v>2095</v>
      </c>
      <c r="L30" s="535"/>
      <c r="M30" s="538"/>
      <c r="N30" s="541"/>
      <c r="O30" s="538"/>
      <c r="P30" s="541"/>
      <c r="Q30" s="547"/>
      <c r="R30" s="544"/>
      <c r="S30" s="550"/>
    </row>
    <row r="31" spans="2:19" customFormat="1" ht="19.5" customHeight="1" thickTop="1" thickBot="1" x14ac:dyDescent="0.25">
      <c r="B31" s="522"/>
      <c r="C31" s="523"/>
      <c r="D31" s="30" t="s">
        <v>236</v>
      </c>
      <c r="E31" s="531"/>
      <c r="F31" s="514"/>
      <c r="G31" s="86">
        <f>IF(G29=0,1,IFERROR(ROUND(G30/G29,4),0))</f>
        <v>0.83430000000000004</v>
      </c>
      <c r="H31" s="87">
        <f t="shared" ref="H31" si="25">IF(H29=0,1,IFERROR(ROUND(H30/H29,4),0))</f>
        <v>0.9859</v>
      </c>
      <c r="I31" s="87">
        <f t="shared" ref="I31" si="26">IF(I29=0,1,IFERROR(ROUND(I30/I29,4),0))</f>
        <v>1</v>
      </c>
      <c r="J31" s="88">
        <f t="shared" ref="J31" si="27">IF(J29=0,1,IFERROR(ROUND(J30/J29,4),0))</f>
        <v>1</v>
      </c>
      <c r="K31" s="89">
        <f t="shared" ref="K31" si="28">IF(K29=0,1,IFERROR(ROUND(K30/K29,4),0))</f>
        <v>0.87470000000000003</v>
      </c>
      <c r="L31" s="536"/>
      <c r="M31" s="539"/>
      <c r="N31" s="542"/>
      <c r="O31" s="539"/>
      <c r="P31" s="542"/>
      <c r="Q31" s="548"/>
      <c r="R31" s="545"/>
      <c r="S31" s="551"/>
    </row>
    <row r="32" spans="2:19" customFormat="1" ht="19.5" customHeight="1" x14ac:dyDescent="0.2">
      <c r="B32" s="518" t="s">
        <v>263</v>
      </c>
      <c r="C32" s="519"/>
      <c r="D32" s="114" t="s">
        <v>241</v>
      </c>
      <c r="E32" s="529">
        <v>0.8</v>
      </c>
      <c r="F32" s="512" t="s">
        <v>256</v>
      </c>
      <c r="G32" s="78">
        <f>SUM('Outputs Monthly'!E17:G17)</f>
        <v>1283</v>
      </c>
      <c r="H32" s="79">
        <f>SUM('Outputs Monthly'!H17:J17)</f>
        <v>484</v>
      </c>
      <c r="I32" s="79">
        <f>SUM('Outputs Monthly'!K17:M17)</f>
        <v>0</v>
      </c>
      <c r="J32" s="80">
        <f>SUM('Outputs Monthly'!N17:P17)</f>
        <v>0</v>
      </c>
      <c r="K32" s="81">
        <f>SUM(G32:J32)</f>
        <v>1767</v>
      </c>
      <c r="L32" s="534"/>
      <c r="M32" s="537"/>
      <c r="N32" s="540"/>
      <c r="O32" s="537"/>
      <c r="P32" s="540"/>
      <c r="Q32" s="546"/>
      <c r="R32" s="543"/>
      <c r="S32" s="549"/>
    </row>
    <row r="33" spans="1:19" customFormat="1" ht="19.5" customHeight="1" thickBot="1" x14ac:dyDescent="0.25">
      <c r="B33" s="520"/>
      <c r="C33" s="521"/>
      <c r="D33" s="113" t="s">
        <v>259</v>
      </c>
      <c r="E33" s="530"/>
      <c r="F33" s="513"/>
      <c r="G33" s="82">
        <v>1241</v>
      </c>
      <c r="H33" s="83">
        <v>479</v>
      </c>
      <c r="I33" s="83">
        <f>IF('Subcases Monthly'!$D$4="","",VLOOKUP('Subcases Monthly'!$D$4,'Timeliness Performance'!$A$4:$DQ$70,32,FALSE))</f>
        <v>0</v>
      </c>
      <c r="J33" s="84"/>
      <c r="K33" s="85">
        <f>SUM(G33:J33)</f>
        <v>1720</v>
      </c>
      <c r="L33" s="535"/>
      <c r="M33" s="538"/>
      <c r="N33" s="541"/>
      <c r="O33" s="538"/>
      <c r="P33" s="541"/>
      <c r="Q33" s="547"/>
      <c r="R33" s="544"/>
      <c r="S33" s="550"/>
    </row>
    <row r="34" spans="1:19" customFormat="1" ht="19.5" customHeight="1" thickTop="1" thickBot="1" x14ac:dyDescent="0.25">
      <c r="B34" s="522"/>
      <c r="C34" s="523"/>
      <c r="D34" s="30" t="s">
        <v>236</v>
      </c>
      <c r="E34" s="531"/>
      <c r="F34" s="514"/>
      <c r="G34" s="86">
        <f>IF(G32=0,1,IFERROR(ROUND(G33/G32,4),0))</f>
        <v>0.96730000000000005</v>
      </c>
      <c r="H34" s="87">
        <f t="shared" ref="H34" si="29">IF(H32=0,1,IFERROR(ROUND(H33/H32,4),0))</f>
        <v>0.98970000000000002</v>
      </c>
      <c r="I34" s="87">
        <f t="shared" ref="I34" si="30">IF(I32=0,1,IFERROR(ROUND(I33/I32,4),0))</f>
        <v>1</v>
      </c>
      <c r="J34" s="88">
        <f t="shared" ref="J34" si="31">IF(J32=0,1,IFERROR(ROUND(J33/J32,4),0))</f>
        <v>1</v>
      </c>
      <c r="K34" s="89">
        <f t="shared" ref="K34" si="32">IF(K32=0,1,IFERROR(ROUND(K33/K32,4),0))</f>
        <v>0.97340000000000004</v>
      </c>
      <c r="L34" s="536"/>
      <c r="M34" s="539"/>
      <c r="N34" s="542"/>
      <c r="O34" s="539"/>
      <c r="P34" s="542"/>
      <c r="Q34" s="548"/>
      <c r="R34" s="545"/>
      <c r="S34" s="551"/>
    </row>
    <row r="35" spans="1:19" customFormat="1" ht="19.5" customHeight="1" x14ac:dyDescent="0.2">
      <c r="B35" s="518" t="s">
        <v>264</v>
      </c>
      <c r="C35" s="519"/>
      <c r="D35" s="114" t="s">
        <v>241</v>
      </c>
      <c r="E35" s="529">
        <v>0.8</v>
      </c>
      <c r="F35" s="512" t="s">
        <v>255</v>
      </c>
      <c r="G35" s="78">
        <f>SUM('Outputs Monthly'!E18:G18)</f>
        <v>60</v>
      </c>
      <c r="H35" s="79">
        <f>SUM('Outputs Monthly'!H18:J18)</f>
        <v>12</v>
      </c>
      <c r="I35" s="79">
        <f>SUM('Outputs Monthly'!K18:M18)</f>
        <v>0</v>
      </c>
      <c r="J35" s="80">
        <f>SUM('Outputs Monthly'!N18:P18)</f>
        <v>0</v>
      </c>
      <c r="K35" s="81">
        <f>SUM(G35:J35)</f>
        <v>72</v>
      </c>
      <c r="L35" s="534"/>
      <c r="M35" s="537"/>
      <c r="N35" s="540"/>
      <c r="O35" s="537"/>
      <c r="P35" s="540"/>
      <c r="Q35" s="546"/>
      <c r="R35" s="543"/>
      <c r="S35" s="549"/>
    </row>
    <row r="36" spans="1:19" customFormat="1" ht="19.5" customHeight="1" thickBot="1" x14ac:dyDescent="0.25">
      <c r="B36" s="520"/>
      <c r="C36" s="521"/>
      <c r="D36" s="113" t="s">
        <v>247</v>
      </c>
      <c r="E36" s="530"/>
      <c r="F36" s="513"/>
      <c r="G36" s="82">
        <v>59</v>
      </c>
      <c r="H36" s="83">
        <v>12</v>
      </c>
      <c r="I36" s="83">
        <f>IF('Subcases Monthly'!$D$4="","",VLOOKUP('Subcases Monthly'!$D$4,'Timeliness Performance'!$A$4:$DQ$70,36,FALSE))</f>
        <v>0</v>
      </c>
      <c r="J36" s="84"/>
      <c r="K36" s="85">
        <f>SUM(G36:J36)</f>
        <v>71</v>
      </c>
      <c r="L36" s="535"/>
      <c r="M36" s="538"/>
      <c r="N36" s="541"/>
      <c r="O36" s="538"/>
      <c r="P36" s="541"/>
      <c r="Q36" s="547"/>
      <c r="R36" s="544"/>
      <c r="S36" s="550"/>
    </row>
    <row r="37" spans="1:19" customFormat="1" ht="15.75" customHeight="1" thickTop="1" thickBot="1" x14ac:dyDescent="0.25">
      <c r="B37" s="522"/>
      <c r="C37" s="523"/>
      <c r="D37" s="30" t="s">
        <v>236</v>
      </c>
      <c r="E37" s="531"/>
      <c r="F37" s="514"/>
      <c r="G37" s="86">
        <f>IF(G35=0,1,IFERROR(ROUND(G36/G35,4),0))</f>
        <v>0.98329999999999995</v>
      </c>
      <c r="H37" s="87">
        <f t="shared" ref="H37" si="33">IF(H35=0,1,IFERROR(ROUND(H36/H35,4),0))</f>
        <v>1</v>
      </c>
      <c r="I37" s="87">
        <f t="shared" ref="I37" si="34">IF(I35=0,1,IFERROR(ROUND(I36/I35,4),0))</f>
        <v>1</v>
      </c>
      <c r="J37" s="88">
        <f t="shared" ref="J37" si="35">IF(J35=0,1,IFERROR(ROUND(J36/J35,4),0))</f>
        <v>1</v>
      </c>
      <c r="K37" s="89">
        <f t="shared" ref="K37" si="36">IF(K35=0,1,IFERROR(ROUND(K36/K35,4),0))</f>
        <v>0.98609999999999998</v>
      </c>
      <c r="L37" s="536"/>
      <c r="M37" s="539"/>
      <c r="N37" s="542"/>
      <c r="O37" s="539"/>
      <c r="P37" s="542"/>
      <c r="Q37" s="548"/>
      <c r="R37" s="545"/>
      <c r="S37" s="551"/>
    </row>
    <row r="38" spans="1:19" customFormat="1" ht="19.5" customHeight="1" x14ac:dyDescent="0.2">
      <c r="B38" s="518" t="s">
        <v>265</v>
      </c>
      <c r="C38" s="519"/>
      <c r="D38" s="114" t="s">
        <v>258</v>
      </c>
      <c r="E38" s="529">
        <v>0.8</v>
      </c>
      <c r="F38" s="512" t="s">
        <v>266</v>
      </c>
      <c r="G38" s="78">
        <f>SUM('Outputs Monthly'!E19:G19)</f>
        <v>10718</v>
      </c>
      <c r="H38" s="79">
        <f>SUM('Outputs Monthly'!H19:J19)</f>
        <v>4884</v>
      </c>
      <c r="I38" s="79">
        <f>SUM('Outputs Monthly'!K19:M19)</f>
        <v>0</v>
      </c>
      <c r="J38" s="80">
        <f>SUM('Outputs Monthly'!N19:P19)</f>
        <v>0</v>
      </c>
      <c r="K38" s="81">
        <f>SUM(G38:J38)</f>
        <v>15602</v>
      </c>
      <c r="L38" s="534"/>
      <c r="M38" s="537"/>
      <c r="N38" s="540"/>
      <c r="O38" s="537"/>
      <c r="P38" s="540"/>
      <c r="Q38" s="546"/>
      <c r="R38" s="543"/>
      <c r="S38" s="549"/>
    </row>
    <row r="39" spans="1:19" customFormat="1" ht="19.5" customHeight="1" thickBot="1" x14ac:dyDescent="0.25">
      <c r="B39" s="520"/>
      <c r="C39" s="521"/>
      <c r="D39" s="113" t="s">
        <v>267</v>
      </c>
      <c r="E39" s="530"/>
      <c r="F39" s="513"/>
      <c r="G39" s="82">
        <v>10068</v>
      </c>
      <c r="H39" s="83">
        <v>4729</v>
      </c>
      <c r="I39" s="83">
        <f>IF('Subcases Monthly'!$D$4="","",VLOOKUP('Subcases Monthly'!$D$4,'Timeliness Performance'!$A$4:$DQ$70,40,FALSE))</f>
        <v>0</v>
      </c>
      <c r="J39" s="84"/>
      <c r="K39" s="85">
        <f>SUM(G39:J39)</f>
        <v>14797</v>
      </c>
      <c r="L39" s="535"/>
      <c r="M39" s="538"/>
      <c r="N39" s="541"/>
      <c r="O39" s="538"/>
      <c r="P39" s="541"/>
      <c r="Q39" s="547"/>
      <c r="R39" s="544"/>
      <c r="S39" s="550"/>
    </row>
    <row r="40" spans="1:19" customFormat="1" ht="19.5" customHeight="1" thickTop="1" thickBot="1" x14ac:dyDescent="0.25">
      <c r="B40" s="522"/>
      <c r="C40" s="523"/>
      <c r="D40" s="30" t="s">
        <v>236</v>
      </c>
      <c r="E40" s="531"/>
      <c r="F40" s="514"/>
      <c r="G40" s="86">
        <f>IF(G38=0,1,IFERROR(ROUND(G39/G38,4),0))</f>
        <v>0.93940000000000001</v>
      </c>
      <c r="H40" s="87">
        <f t="shared" ref="H40" si="37">IF(H38=0,1,IFERROR(ROUND(H39/H38,4),0))</f>
        <v>0.96830000000000005</v>
      </c>
      <c r="I40" s="87">
        <f t="shared" ref="I40" si="38">IF(I38=0,1,IFERROR(ROUND(I39/I38,4),0))</f>
        <v>1</v>
      </c>
      <c r="J40" s="88">
        <f t="shared" ref="J40" si="39">IF(J38=0,1,IFERROR(ROUND(J39/J38,4),0))</f>
        <v>1</v>
      </c>
      <c r="K40" s="89">
        <f t="shared" ref="K40" si="40">IF(K38=0,1,IFERROR(ROUND(K39/K38,4),0))</f>
        <v>0.94840000000000002</v>
      </c>
      <c r="L40" s="536"/>
      <c r="M40" s="539"/>
      <c r="N40" s="542"/>
      <c r="O40" s="539"/>
      <c r="P40" s="542"/>
      <c r="Q40" s="548"/>
      <c r="R40" s="554"/>
      <c r="S40" s="555"/>
    </row>
    <row r="41" spans="1:19" customFormat="1" ht="19.5" customHeight="1" x14ac:dyDescent="0.2"/>
    <row r="42" spans="1:19" customFormat="1" ht="19.5" customHeight="1" x14ac:dyDescent="0.2"/>
    <row r="43" spans="1:19" customFormat="1" ht="19.5" customHeight="1" thickBot="1" x14ac:dyDescent="0.25">
      <c r="A43" s="528" t="s">
        <v>268</v>
      </c>
      <c r="B43" s="528"/>
      <c r="C43" s="528"/>
      <c r="D43" s="52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24" t="s">
        <v>233</v>
      </c>
      <c r="F44" s="526"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56" t="s">
        <v>253</v>
      </c>
      <c r="L44" s="515" t="str">
        <f t="shared" ref="L44:M44" si="41">TEXT(DATE(LEFT(RIGHT($A$2,9),4),10,1),"m/d/yy")&amp;" - "&amp;TEXT(DATE(LEFT(RIGHT($A$2,9),4),12,31),"m/d/yy")</f>
        <v>10/1/24 - 12/31/24</v>
      </c>
      <c r="M44" s="516" t="str">
        <f t="shared" si="41"/>
        <v>10/1/24 - 12/31/24</v>
      </c>
      <c r="N44" s="515" t="str">
        <f t="shared" ref="N44:O44" si="42">TEXT(DATE(RIGHT($A$2,4),1,1),"m/d/yy")&amp;" - "&amp;TEXT(DATE(RIGHT($A$2,4),3,31),"m/d/yy")</f>
        <v>1/1/25 - 3/31/25</v>
      </c>
      <c r="O44" s="516" t="str">
        <f t="shared" si="42"/>
        <v>1/1/25 - 3/31/25</v>
      </c>
      <c r="P44" s="515" t="str">
        <f t="shared" ref="P44:Q44" si="43">TEXT(DATE(RIGHT($A$2,4),4,1),"m/d/yy")&amp;" - "&amp;TEXT(DATE(RIGHT($A$2,4),6,30),"m/d/yy")</f>
        <v>4/1/25 - 6/30/25</v>
      </c>
      <c r="Q44" s="517" t="str">
        <f t="shared" si="43"/>
        <v>4/1/25 - 6/30/25</v>
      </c>
      <c r="R44" s="532" t="str">
        <f t="shared" ref="R44:S44" si="44">TEXT(DATE(RIGHT($A$2,4),7,1),"m/d/yy")&amp;" - "&amp;TEXT(DATE(RIGHT($A$2,4),9,30),"m/d/yy")</f>
        <v>7/1/25 - 9/30/25</v>
      </c>
      <c r="S44" s="533" t="str">
        <f t="shared" si="44"/>
        <v>7/1/25 - 9/30/25</v>
      </c>
    </row>
    <row r="45" spans="1:19" ht="15.75" customHeight="1" thickBot="1" x14ac:dyDescent="0.25">
      <c r="B45" s="17"/>
      <c r="C45" s="552"/>
      <c r="D45" s="553"/>
      <c r="E45" s="525"/>
      <c r="F45" s="527"/>
      <c r="G45" s="170" t="s">
        <v>249</v>
      </c>
      <c r="H45" s="171" t="s">
        <v>250</v>
      </c>
      <c r="I45" s="171" t="s">
        <v>251</v>
      </c>
      <c r="J45" s="172" t="s">
        <v>252</v>
      </c>
      <c r="K45" s="557"/>
      <c r="L45" s="165" t="s">
        <v>234</v>
      </c>
      <c r="M45" s="166" t="s">
        <v>242</v>
      </c>
      <c r="N45" s="165" t="s">
        <v>234</v>
      </c>
      <c r="O45" s="166" t="s">
        <v>242</v>
      </c>
      <c r="P45" s="165" t="s">
        <v>234</v>
      </c>
      <c r="Q45" s="166" t="s">
        <v>242</v>
      </c>
      <c r="R45" s="165" t="s">
        <v>234</v>
      </c>
      <c r="S45" s="166" t="s">
        <v>242</v>
      </c>
    </row>
    <row r="46" spans="1:19" x14ac:dyDescent="0.2">
      <c r="B46" s="518" t="s">
        <v>399</v>
      </c>
      <c r="C46" s="519"/>
      <c r="D46" s="114" t="s">
        <v>243</v>
      </c>
      <c r="E46" s="529">
        <v>0.8</v>
      </c>
      <c r="F46" s="512" t="s">
        <v>256</v>
      </c>
      <c r="G46" s="39">
        <v>79766</v>
      </c>
      <c r="H46" s="40">
        <v>30585</v>
      </c>
      <c r="I46" s="40">
        <f>IF('Subcases Monthly'!$D$4="","",VLOOKUP('Subcases Monthly'!$D$4,'Timeliness Performance'!$A$4:$DQ$70,46,FALSE))</f>
        <v>0</v>
      </c>
      <c r="J46" s="41"/>
      <c r="K46" s="29">
        <f>SUM(G46:J46)</f>
        <v>110351</v>
      </c>
      <c r="L46" s="534"/>
      <c r="M46" s="537"/>
      <c r="N46" s="540"/>
      <c r="O46" s="537"/>
      <c r="P46" s="540"/>
      <c r="Q46" s="546"/>
      <c r="R46" s="543"/>
      <c r="S46" s="549"/>
    </row>
    <row r="47" spans="1:19" ht="16.5" thickBot="1" x14ac:dyDescent="0.25">
      <c r="B47" s="520"/>
      <c r="C47" s="521"/>
      <c r="D47" s="113" t="s">
        <v>259</v>
      </c>
      <c r="E47" s="530"/>
      <c r="F47" s="513"/>
      <c r="G47" s="36">
        <v>78223</v>
      </c>
      <c r="H47" s="37">
        <v>29948</v>
      </c>
      <c r="I47" s="37">
        <f>IF('Subcases Monthly'!$D$4="","",VLOOKUP('Subcases Monthly'!$D$4,'Timeliness Performance'!$A$4:$DQ$70,47,FALSE))</f>
        <v>0</v>
      </c>
      <c r="J47" s="38"/>
      <c r="K47" s="31">
        <f>SUM(G47:J47)</f>
        <v>108171</v>
      </c>
      <c r="L47" s="535"/>
      <c r="M47" s="538"/>
      <c r="N47" s="541"/>
      <c r="O47" s="538"/>
      <c r="P47" s="541"/>
      <c r="Q47" s="547"/>
      <c r="R47" s="544"/>
      <c r="S47" s="550"/>
    </row>
    <row r="48" spans="1:19" ht="17.25" thickTop="1" thickBot="1" x14ac:dyDescent="0.25">
      <c r="B48" s="522"/>
      <c r="C48" s="523"/>
      <c r="D48" s="30" t="s">
        <v>236</v>
      </c>
      <c r="E48" s="531"/>
      <c r="F48" s="514"/>
      <c r="G48" s="32">
        <f>IF(G46=0,1,IFERROR(ROUND(G47/G46,4),0))</f>
        <v>0.98070000000000002</v>
      </c>
      <c r="H48" s="33">
        <f t="shared" ref="H48" si="45">IF(H46=0,1,IFERROR(ROUND(H47/H46,4),0))</f>
        <v>0.97919999999999996</v>
      </c>
      <c r="I48" s="33">
        <f t="shared" ref="I48" si="46">IF(I46=0,1,IFERROR(ROUND(I47/I46,4),0))</f>
        <v>1</v>
      </c>
      <c r="J48" s="34">
        <f t="shared" ref="J48" si="47">IF(J46=0,1,IFERROR(ROUND(J47/J46,4),0))</f>
        <v>1</v>
      </c>
      <c r="K48" s="35">
        <f t="shared" ref="K48" si="48">IF(K46=0,1,IFERROR(ROUND(K47/K46,4),0))</f>
        <v>0.98019999999999996</v>
      </c>
      <c r="L48" s="536"/>
      <c r="M48" s="539"/>
      <c r="N48" s="542"/>
      <c r="O48" s="539"/>
      <c r="P48" s="542"/>
      <c r="Q48" s="548"/>
      <c r="R48" s="545"/>
      <c r="S48" s="551"/>
    </row>
    <row r="49" spans="1:19" x14ac:dyDescent="0.2">
      <c r="A49"/>
      <c r="B49" s="518" t="s">
        <v>398</v>
      </c>
      <c r="C49" s="519"/>
      <c r="D49" s="114" t="s">
        <v>243</v>
      </c>
      <c r="E49" s="529">
        <v>0.8</v>
      </c>
      <c r="F49" s="512" t="s">
        <v>256</v>
      </c>
      <c r="G49" s="39">
        <v>26870</v>
      </c>
      <c r="H49" s="40">
        <v>9614</v>
      </c>
      <c r="I49" s="40">
        <f>IF('Subcases Monthly'!$D$4="","",VLOOKUP('Subcases Monthly'!$D$4,'Timeliness Performance'!$A$4:$DQ$70,54,FALSE))</f>
        <v>0</v>
      </c>
      <c r="J49" s="41"/>
      <c r="K49" s="29">
        <f>SUM(G49:J49)</f>
        <v>36484</v>
      </c>
      <c r="L49" s="534"/>
      <c r="M49" s="537"/>
      <c r="N49" s="540"/>
      <c r="O49" s="537"/>
      <c r="P49" s="540"/>
      <c r="Q49" s="546"/>
      <c r="R49" s="543"/>
      <c r="S49" s="549"/>
    </row>
    <row r="50" spans="1:19" ht="16.5" thickBot="1" x14ac:dyDescent="0.25">
      <c r="A50"/>
      <c r="B50" s="520"/>
      <c r="C50" s="521"/>
      <c r="D50" s="113" t="s">
        <v>259</v>
      </c>
      <c r="E50" s="530"/>
      <c r="F50" s="513"/>
      <c r="G50" s="36">
        <v>26215</v>
      </c>
      <c r="H50" s="37">
        <v>9309</v>
      </c>
      <c r="I50" s="37">
        <f>IF('Subcases Monthly'!$D$4="","",VLOOKUP('Subcases Monthly'!$D$4,'Timeliness Performance'!$A$4:$DQ$70,55,FALSE))</f>
        <v>0</v>
      </c>
      <c r="J50" s="38"/>
      <c r="K50" s="31">
        <f>SUM(G50:J50)</f>
        <v>35524</v>
      </c>
      <c r="L50" s="535"/>
      <c r="M50" s="538"/>
      <c r="N50" s="541"/>
      <c r="O50" s="538"/>
      <c r="P50" s="541"/>
      <c r="Q50" s="547"/>
      <c r="R50" s="544"/>
      <c r="S50" s="550"/>
    </row>
    <row r="51" spans="1:19" ht="17.25" thickTop="1" thickBot="1" x14ac:dyDescent="0.25">
      <c r="A51"/>
      <c r="B51" s="522"/>
      <c r="C51" s="523"/>
      <c r="D51" s="30" t="s">
        <v>236</v>
      </c>
      <c r="E51" s="531"/>
      <c r="F51" s="514"/>
      <c r="G51" s="32">
        <f>IF(G49=0,1,IFERROR(ROUND(G50/G49,4),0))</f>
        <v>0.97560000000000002</v>
      </c>
      <c r="H51" s="33">
        <f t="shared" ref="H51" si="49">IF(H49=0,1,IFERROR(ROUND(H50/H49,4),0))</f>
        <v>0.96830000000000005</v>
      </c>
      <c r="I51" s="33">
        <f t="shared" ref="I51" si="50">IF(I49=0,1,IFERROR(ROUND(I50/I49,4),0))</f>
        <v>1</v>
      </c>
      <c r="J51" s="34">
        <f t="shared" ref="J51" si="51">IF(J49=0,1,IFERROR(ROUND(J50/J49,4),0))</f>
        <v>1</v>
      </c>
      <c r="K51" s="35">
        <f t="shared" ref="K51" si="52">IF(K49=0,1,IFERROR(ROUND(K50/K49,4),0))</f>
        <v>0.97370000000000001</v>
      </c>
      <c r="L51" s="536"/>
      <c r="M51" s="539"/>
      <c r="N51" s="542"/>
      <c r="O51" s="539"/>
      <c r="P51" s="542"/>
      <c r="Q51" s="548"/>
      <c r="R51" s="545"/>
      <c r="S51" s="551"/>
    </row>
    <row r="52" spans="1:19" x14ac:dyDescent="0.2">
      <c r="A52"/>
      <c r="B52" s="518" t="s">
        <v>400</v>
      </c>
      <c r="C52" s="519"/>
      <c r="D52" s="114" t="s">
        <v>243</v>
      </c>
      <c r="E52" s="529">
        <v>0.8</v>
      </c>
      <c r="F52" s="512" t="s">
        <v>256</v>
      </c>
      <c r="G52" s="39">
        <v>6422</v>
      </c>
      <c r="H52" s="40">
        <v>2287</v>
      </c>
      <c r="I52" s="40">
        <f>IF('Subcases Monthly'!$D$4="","",VLOOKUP('Subcases Monthly'!$D$4,'Timeliness Performance'!$A$4:$DQ$70,62,FALSE))</f>
        <v>0</v>
      </c>
      <c r="J52" s="41"/>
      <c r="K52" s="29">
        <f>SUM(G52:J52)</f>
        <v>8709</v>
      </c>
      <c r="L52" s="534"/>
      <c r="M52" s="537"/>
      <c r="N52" s="540"/>
      <c r="O52" s="537"/>
      <c r="P52" s="540"/>
      <c r="Q52" s="546"/>
      <c r="R52" s="543"/>
      <c r="S52" s="549"/>
    </row>
    <row r="53" spans="1:19" ht="16.5" thickBot="1" x14ac:dyDescent="0.25">
      <c r="A53"/>
      <c r="B53" s="520"/>
      <c r="C53" s="521"/>
      <c r="D53" s="113" t="s">
        <v>259</v>
      </c>
      <c r="E53" s="530"/>
      <c r="F53" s="513"/>
      <c r="G53" s="36">
        <v>6397</v>
      </c>
      <c r="H53" s="37">
        <v>2281</v>
      </c>
      <c r="I53" s="37">
        <f>IF('Subcases Monthly'!$D$4="","",VLOOKUP('Subcases Monthly'!$D$4,'Timeliness Performance'!$A$4:$DQ$70,63,FALSE))</f>
        <v>0</v>
      </c>
      <c r="J53" s="38"/>
      <c r="K53" s="31">
        <f>SUM(G53:J53)</f>
        <v>8678</v>
      </c>
      <c r="L53" s="535"/>
      <c r="M53" s="538"/>
      <c r="N53" s="541"/>
      <c r="O53" s="538"/>
      <c r="P53" s="541"/>
      <c r="Q53" s="547"/>
      <c r="R53" s="544"/>
      <c r="S53" s="550"/>
    </row>
    <row r="54" spans="1:19" ht="17.25" thickTop="1" thickBot="1" x14ac:dyDescent="0.25">
      <c r="A54"/>
      <c r="B54" s="522"/>
      <c r="C54" s="523"/>
      <c r="D54" s="30" t="s">
        <v>236</v>
      </c>
      <c r="E54" s="531"/>
      <c r="F54" s="514"/>
      <c r="G54" s="32">
        <f>IF(G52=0,1,IFERROR(ROUND(G53/G52,4),0))</f>
        <v>0.99609999999999999</v>
      </c>
      <c r="H54" s="33">
        <f t="shared" ref="H54" si="53">IF(H52=0,1,IFERROR(ROUND(H53/H52,4),0))</f>
        <v>0.99739999999999995</v>
      </c>
      <c r="I54" s="33">
        <f t="shared" ref="I54" si="54">IF(I52=0,1,IFERROR(ROUND(I53/I52,4),0))</f>
        <v>1</v>
      </c>
      <c r="J54" s="34">
        <f t="shared" ref="J54" si="55">IF(J52=0,1,IFERROR(ROUND(J53/J52,4),0))</f>
        <v>1</v>
      </c>
      <c r="K54" s="35">
        <f t="shared" ref="K54" si="56">IF(K52=0,1,IFERROR(ROUND(K53/K52,4),0))</f>
        <v>0.99639999999999995</v>
      </c>
      <c r="L54" s="536"/>
      <c r="M54" s="539"/>
      <c r="N54" s="542"/>
      <c r="O54" s="539"/>
      <c r="P54" s="542"/>
      <c r="Q54" s="548"/>
      <c r="R54" s="545"/>
      <c r="S54" s="551"/>
    </row>
    <row r="55" spans="1:19" x14ac:dyDescent="0.2">
      <c r="A55"/>
      <c r="B55" s="518" t="s">
        <v>257</v>
      </c>
      <c r="C55" s="519"/>
      <c r="D55" s="114" t="s">
        <v>243</v>
      </c>
      <c r="E55" s="529">
        <v>0.8</v>
      </c>
      <c r="F55" s="512" t="s">
        <v>256</v>
      </c>
      <c r="G55" s="39">
        <v>13946</v>
      </c>
      <c r="H55" s="40">
        <v>5107</v>
      </c>
      <c r="I55" s="40">
        <f>IF('Subcases Monthly'!$D$4="","",VLOOKUP('Subcases Monthly'!$D$4,'Timeliness Performance'!$A$4:$DQ$70,70,FALSE))</f>
        <v>0</v>
      </c>
      <c r="J55" s="41"/>
      <c r="K55" s="29">
        <f>SUM(G55:J55)</f>
        <v>19053</v>
      </c>
      <c r="L55" s="534"/>
      <c r="M55" s="537"/>
      <c r="N55" s="540"/>
      <c r="O55" s="537"/>
      <c r="P55" s="540"/>
      <c r="Q55" s="546"/>
      <c r="R55" s="543"/>
      <c r="S55" s="549"/>
    </row>
    <row r="56" spans="1:19" ht="16.5" thickBot="1" x14ac:dyDescent="0.25">
      <c r="A56"/>
      <c r="B56" s="520"/>
      <c r="C56" s="521"/>
      <c r="D56" s="113" t="s">
        <v>259</v>
      </c>
      <c r="E56" s="530"/>
      <c r="F56" s="513"/>
      <c r="G56" s="36">
        <v>13127</v>
      </c>
      <c r="H56" s="37">
        <v>4797</v>
      </c>
      <c r="I56" s="37">
        <f>IF('Subcases Monthly'!$D$4="","",VLOOKUP('Subcases Monthly'!$D$4,'Timeliness Performance'!$A$4:$DQ$70,71,FALSE))</f>
        <v>0</v>
      </c>
      <c r="J56" s="38"/>
      <c r="K56" s="31">
        <f>SUM(G56:J56)</f>
        <v>17924</v>
      </c>
      <c r="L56" s="535"/>
      <c r="M56" s="538"/>
      <c r="N56" s="541"/>
      <c r="O56" s="538"/>
      <c r="P56" s="541"/>
      <c r="Q56" s="547"/>
      <c r="R56" s="544"/>
      <c r="S56" s="550"/>
    </row>
    <row r="57" spans="1:19" ht="17.25" thickTop="1" thickBot="1" x14ac:dyDescent="0.25">
      <c r="A57"/>
      <c r="B57" s="522"/>
      <c r="C57" s="523"/>
      <c r="D57" s="30" t="s">
        <v>236</v>
      </c>
      <c r="E57" s="531"/>
      <c r="F57" s="514"/>
      <c r="G57" s="32">
        <f>IF(G55=0,1,IFERROR(ROUND(G56/G55,4),0))</f>
        <v>0.94130000000000003</v>
      </c>
      <c r="H57" s="33">
        <f t="shared" ref="H57" si="57">IF(H55=0,1,IFERROR(ROUND(H56/H55,4),0))</f>
        <v>0.93930000000000002</v>
      </c>
      <c r="I57" s="33">
        <f t="shared" ref="I57" si="58">IF(I55=0,1,IFERROR(ROUND(I56/I55,4),0))</f>
        <v>1</v>
      </c>
      <c r="J57" s="34">
        <f t="shared" ref="J57" si="59">IF(J55=0,1,IFERROR(ROUND(J56/J55,4),0))</f>
        <v>1</v>
      </c>
      <c r="K57" s="35">
        <f t="shared" ref="K57" si="60">IF(K55=0,1,IFERROR(ROUND(K56/K55,4),0))</f>
        <v>0.94069999999999998</v>
      </c>
      <c r="L57" s="536"/>
      <c r="M57" s="539"/>
      <c r="N57" s="542"/>
      <c r="O57" s="539"/>
      <c r="P57" s="542"/>
      <c r="Q57" s="548"/>
      <c r="R57" s="545"/>
      <c r="S57" s="551"/>
    </row>
    <row r="58" spans="1:19" x14ac:dyDescent="0.2">
      <c r="A58"/>
      <c r="B58" s="518" t="s">
        <v>260</v>
      </c>
      <c r="C58" s="519"/>
      <c r="D58" s="114" t="s">
        <v>243</v>
      </c>
      <c r="E58" s="529">
        <v>0.8</v>
      </c>
      <c r="F58" s="512" t="s">
        <v>256</v>
      </c>
      <c r="G58" s="39">
        <v>55373</v>
      </c>
      <c r="H58" s="40">
        <v>19384</v>
      </c>
      <c r="I58" s="40">
        <f>IF('Subcases Monthly'!$D$4="","",VLOOKUP('Subcases Monthly'!$D$4,'Timeliness Performance'!$A$4:$DQ$70,78,FALSE))</f>
        <v>0</v>
      </c>
      <c r="J58" s="41"/>
      <c r="K58" s="29">
        <f>SUM(G58:J58)</f>
        <v>74757</v>
      </c>
      <c r="L58" s="534"/>
      <c r="M58" s="537"/>
      <c r="N58" s="540" t="s">
        <v>237</v>
      </c>
      <c r="O58" s="537" t="s">
        <v>1912</v>
      </c>
      <c r="P58" s="540"/>
      <c r="Q58" s="546"/>
      <c r="R58" s="543"/>
      <c r="S58" s="549"/>
    </row>
    <row r="59" spans="1:19" ht="16.5" thickBot="1" x14ac:dyDescent="0.25">
      <c r="A59"/>
      <c r="B59" s="520"/>
      <c r="C59" s="521"/>
      <c r="D59" s="113" t="s">
        <v>259</v>
      </c>
      <c r="E59" s="530"/>
      <c r="F59" s="513"/>
      <c r="G59" s="36">
        <v>52718</v>
      </c>
      <c r="H59" s="37">
        <v>15376</v>
      </c>
      <c r="I59" s="37">
        <f>IF('Subcases Monthly'!$D$4="","",VLOOKUP('Subcases Monthly'!$D$4,'Timeliness Performance'!$A$4:$DQ$70,79,FALSE))</f>
        <v>0</v>
      </c>
      <c r="J59" s="38"/>
      <c r="K59" s="31">
        <f>SUM(G59:J59)</f>
        <v>68094</v>
      </c>
      <c r="L59" s="535"/>
      <c r="M59" s="538"/>
      <c r="N59" s="541"/>
      <c r="O59" s="538"/>
      <c r="P59" s="541"/>
      <c r="Q59" s="547"/>
      <c r="R59" s="544"/>
      <c r="S59" s="550"/>
    </row>
    <row r="60" spans="1:19" ht="17.25" thickTop="1" thickBot="1" x14ac:dyDescent="0.25">
      <c r="A60"/>
      <c r="B60" s="522"/>
      <c r="C60" s="523"/>
      <c r="D60" s="30" t="s">
        <v>236</v>
      </c>
      <c r="E60" s="531"/>
      <c r="F60" s="514"/>
      <c r="G60" s="32">
        <f>IF(G58=0,1,IFERROR(ROUND(G59/G58,4),0))</f>
        <v>0.95209999999999995</v>
      </c>
      <c r="H60" s="33">
        <f t="shared" ref="H60" si="61">IF(H58=0,1,IFERROR(ROUND(H59/H58,4),0))</f>
        <v>0.79320000000000002</v>
      </c>
      <c r="I60" s="33">
        <f t="shared" ref="I60" si="62">IF(I58=0,1,IFERROR(ROUND(I59/I58,4),0))</f>
        <v>1</v>
      </c>
      <c r="J60" s="34">
        <f t="shared" ref="J60" si="63">IF(J58=0,1,IFERROR(ROUND(J59/J58,4),0))</f>
        <v>1</v>
      </c>
      <c r="K60" s="35">
        <f t="shared" ref="K60" si="64">IF(K58=0,1,IFERROR(ROUND(K59/K58,4),0))</f>
        <v>0.91090000000000004</v>
      </c>
      <c r="L60" s="536"/>
      <c r="M60" s="539"/>
      <c r="N60" s="542"/>
      <c r="O60" s="539"/>
      <c r="P60" s="542"/>
      <c r="Q60" s="548"/>
      <c r="R60" s="545"/>
      <c r="S60" s="551"/>
    </row>
    <row r="61" spans="1:19" x14ac:dyDescent="0.2">
      <c r="A61"/>
      <c r="B61" s="518" t="s">
        <v>261</v>
      </c>
      <c r="C61" s="519"/>
      <c r="D61" s="114" t="s">
        <v>243</v>
      </c>
      <c r="E61" s="529">
        <v>0.8</v>
      </c>
      <c r="F61" s="512" t="s">
        <v>256</v>
      </c>
      <c r="G61" s="39">
        <v>54015</v>
      </c>
      <c r="H61" s="40">
        <v>20057</v>
      </c>
      <c r="I61" s="40">
        <f>IF('Subcases Monthly'!$D$4="","",VLOOKUP('Subcases Monthly'!$D$4,'Timeliness Performance'!$A$4:$DQ$70,86,FALSE))</f>
        <v>0</v>
      </c>
      <c r="J61" s="41"/>
      <c r="K61" s="29">
        <f>SUM(G61:J61)</f>
        <v>74072</v>
      </c>
      <c r="L61" s="534"/>
      <c r="M61" s="537"/>
      <c r="N61" s="540" t="s">
        <v>237</v>
      </c>
      <c r="O61" s="537" t="s">
        <v>1912</v>
      </c>
      <c r="P61" s="540"/>
      <c r="Q61" s="546"/>
      <c r="R61" s="543"/>
      <c r="S61" s="549"/>
    </row>
    <row r="62" spans="1:19" ht="16.5" thickBot="1" x14ac:dyDescent="0.25">
      <c r="A62"/>
      <c r="B62" s="520"/>
      <c r="C62" s="521"/>
      <c r="D62" s="113" t="s">
        <v>259</v>
      </c>
      <c r="E62" s="530"/>
      <c r="F62" s="513"/>
      <c r="G62" s="36">
        <v>48302</v>
      </c>
      <c r="H62" s="37">
        <v>12529</v>
      </c>
      <c r="I62" s="37">
        <f>IF('Subcases Monthly'!$D$4="","",VLOOKUP('Subcases Monthly'!$D$4,'Timeliness Performance'!$A$4:$DQ$70,87,FALSE))</f>
        <v>0</v>
      </c>
      <c r="J62" s="38"/>
      <c r="K62" s="31">
        <f>SUM(G62:J62)</f>
        <v>60831</v>
      </c>
      <c r="L62" s="535"/>
      <c r="M62" s="538"/>
      <c r="N62" s="541"/>
      <c r="O62" s="538"/>
      <c r="P62" s="541"/>
      <c r="Q62" s="547"/>
      <c r="R62" s="544"/>
      <c r="S62" s="550"/>
    </row>
    <row r="63" spans="1:19" ht="17.25" thickTop="1" thickBot="1" x14ac:dyDescent="0.25">
      <c r="A63"/>
      <c r="B63" s="522"/>
      <c r="C63" s="523"/>
      <c r="D63" s="30" t="s">
        <v>236</v>
      </c>
      <c r="E63" s="531"/>
      <c r="F63" s="514"/>
      <c r="G63" s="32">
        <f>IF(G61=0,1,IFERROR(ROUND(G62/G61,4),0))</f>
        <v>0.89419999999999999</v>
      </c>
      <c r="H63" s="33">
        <f t="shared" ref="H63" si="65">IF(H61=0,1,IFERROR(ROUND(H62/H61,4),0))</f>
        <v>0.62470000000000003</v>
      </c>
      <c r="I63" s="33">
        <f t="shared" ref="I63" si="66">IF(I61=0,1,IFERROR(ROUND(I62/I61,4),0))</f>
        <v>1</v>
      </c>
      <c r="J63" s="34">
        <f t="shared" ref="J63" si="67">IF(J61=0,1,IFERROR(ROUND(J62/J61,4),0))</f>
        <v>1</v>
      </c>
      <c r="K63" s="35">
        <f t="shared" ref="K63" si="68">IF(K61=0,1,IFERROR(ROUND(K62/K61,4),0))</f>
        <v>0.82120000000000004</v>
      </c>
      <c r="L63" s="536"/>
      <c r="M63" s="539"/>
      <c r="N63" s="542"/>
      <c r="O63" s="539"/>
      <c r="P63" s="542"/>
      <c r="Q63" s="548"/>
      <c r="R63" s="545"/>
      <c r="S63" s="551"/>
    </row>
    <row r="64" spans="1:19" x14ac:dyDescent="0.2">
      <c r="A64"/>
      <c r="B64" s="518" t="s">
        <v>262</v>
      </c>
      <c r="C64" s="519"/>
      <c r="D64" s="114" t="s">
        <v>243</v>
      </c>
      <c r="E64" s="529">
        <v>0.8</v>
      </c>
      <c r="F64" s="512" t="s">
        <v>256</v>
      </c>
      <c r="G64" s="39">
        <v>22630</v>
      </c>
      <c r="H64" s="40">
        <v>8596</v>
      </c>
      <c r="I64" s="40">
        <f>IF('Subcases Monthly'!$D$4="","",VLOOKUP('Subcases Monthly'!$D$4,'Timeliness Performance'!$A$4:$DQ$70,94,FALSE))</f>
        <v>0</v>
      </c>
      <c r="J64" s="41"/>
      <c r="K64" s="29">
        <f>SUM(G64:J64)</f>
        <v>31226</v>
      </c>
      <c r="L64" s="534"/>
      <c r="M64" s="537"/>
      <c r="N64" s="540"/>
      <c r="O64" s="537"/>
      <c r="P64" s="540"/>
      <c r="Q64" s="546"/>
      <c r="R64" s="543"/>
      <c r="S64" s="549"/>
    </row>
    <row r="65" spans="1:19" ht="16.5" thickBot="1" x14ac:dyDescent="0.25">
      <c r="A65"/>
      <c r="B65" s="520"/>
      <c r="C65" s="521"/>
      <c r="D65" s="113" t="s">
        <v>259</v>
      </c>
      <c r="E65" s="530"/>
      <c r="F65" s="513"/>
      <c r="G65" s="36">
        <v>18388</v>
      </c>
      <c r="H65" s="37">
        <v>8390</v>
      </c>
      <c r="I65" s="37">
        <f>IF('Subcases Monthly'!$D$4="","",VLOOKUP('Subcases Monthly'!$D$4,'Timeliness Performance'!$A$4:$DQ$70,95,FALSE))</f>
        <v>0</v>
      </c>
      <c r="J65" s="38"/>
      <c r="K65" s="31">
        <f>SUM(G65:J65)</f>
        <v>26778</v>
      </c>
      <c r="L65" s="535"/>
      <c r="M65" s="538"/>
      <c r="N65" s="541"/>
      <c r="O65" s="538"/>
      <c r="P65" s="541"/>
      <c r="Q65" s="547"/>
      <c r="R65" s="544"/>
      <c r="S65" s="550"/>
    </row>
    <row r="66" spans="1:19" ht="17.25" thickTop="1" thickBot="1" x14ac:dyDescent="0.25">
      <c r="A66"/>
      <c r="B66" s="522"/>
      <c r="C66" s="523"/>
      <c r="D66" s="30" t="s">
        <v>236</v>
      </c>
      <c r="E66" s="531"/>
      <c r="F66" s="514"/>
      <c r="G66" s="32">
        <f>IF(G64=0,1,IFERROR(ROUND(G65/G64,4),0))</f>
        <v>0.8125</v>
      </c>
      <c r="H66" s="33">
        <f t="shared" ref="H66" si="69">IF(H64=0,1,IFERROR(ROUND(H65/H64,4),0))</f>
        <v>0.97599999999999998</v>
      </c>
      <c r="I66" s="33">
        <f t="shared" ref="I66" si="70">IF(I64=0,1,IFERROR(ROUND(I65/I64,4),0))</f>
        <v>1</v>
      </c>
      <c r="J66" s="34">
        <f t="shared" ref="J66" si="71">IF(J64=0,1,IFERROR(ROUND(J65/J64,4),0))</f>
        <v>1</v>
      </c>
      <c r="K66" s="35">
        <f t="shared" ref="K66" si="72">IF(K64=0,1,IFERROR(ROUND(K65/K64,4),0))</f>
        <v>0.85760000000000003</v>
      </c>
      <c r="L66" s="536"/>
      <c r="M66" s="539"/>
      <c r="N66" s="542"/>
      <c r="O66" s="539"/>
      <c r="P66" s="542"/>
      <c r="Q66" s="548"/>
      <c r="R66" s="545"/>
      <c r="S66" s="551"/>
    </row>
    <row r="67" spans="1:19" x14ac:dyDescent="0.2">
      <c r="A67"/>
      <c r="B67" s="518" t="s">
        <v>263</v>
      </c>
      <c r="C67" s="519"/>
      <c r="D67" s="114" t="s">
        <v>243</v>
      </c>
      <c r="E67" s="529">
        <v>0.8</v>
      </c>
      <c r="F67" s="512" t="s">
        <v>256</v>
      </c>
      <c r="G67" s="39">
        <v>33890</v>
      </c>
      <c r="H67" s="40">
        <v>12564</v>
      </c>
      <c r="I67" s="40">
        <f>IF('Subcases Monthly'!$D$4="","",VLOOKUP('Subcases Monthly'!$D$4,'Timeliness Performance'!$A$4:$DQ$70,102,FALSE))</f>
        <v>0</v>
      </c>
      <c r="J67" s="41"/>
      <c r="K67" s="29">
        <f>SUM(G67:J67)</f>
        <v>46454</v>
      </c>
      <c r="L67" s="534"/>
      <c r="M67" s="537"/>
      <c r="N67" s="540"/>
      <c r="O67" s="537"/>
      <c r="P67" s="540"/>
      <c r="Q67" s="546"/>
      <c r="R67" s="543"/>
      <c r="S67" s="549"/>
    </row>
    <row r="68" spans="1:19" ht="16.5" thickBot="1" x14ac:dyDescent="0.25">
      <c r="A68"/>
      <c r="B68" s="520"/>
      <c r="C68" s="521"/>
      <c r="D68" s="113" t="s">
        <v>259</v>
      </c>
      <c r="E68" s="530"/>
      <c r="F68" s="513"/>
      <c r="G68" s="36">
        <v>32620</v>
      </c>
      <c r="H68" s="37">
        <v>12208</v>
      </c>
      <c r="I68" s="37">
        <f>IF('Subcases Monthly'!$D$4="","",VLOOKUP('Subcases Monthly'!$D$4,'Timeliness Performance'!$A$4:$DQ$70,103,FALSE))</f>
        <v>0</v>
      </c>
      <c r="J68" s="38"/>
      <c r="K68" s="31">
        <f>SUM(G68:J68)</f>
        <v>44828</v>
      </c>
      <c r="L68" s="535"/>
      <c r="M68" s="538"/>
      <c r="N68" s="541"/>
      <c r="O68" s="538"/>
      <c r="P68" s="541"/>
      <c r="Q68" s="547"/>
      <c r="R68" s="544"/>
      <c r="S68" s="550"/>
    </row>
    <row r="69" spans="1:19" ht="17.25" thickTop="1" thickBot="1" x14ac:dyDescent="0.25">
      <c r="A69"/>
      <c r="B69" s="522"/>
      <c r="C69" s="523"/>
      <c r="D69" s="30" t="s">
        <v>236</v>
      </c>
      <c r="E69" s="531"/>
      <c r="F69" s="514"/>
      <c r="G69" s="32">
        <f>IF(G67=0,1,IFERROR(ROUND(G68/G67,4),0))</f>
        <v>0.96250000000000002</v>
      </c>
      <c r="H69" s="33">
        <f t="shared" ref="H69" si="73">IF(H67=0,1,IFERROR(ROUND(H68/H67,4),0))</f>
        <v>0.97170000000000001</v>
      </c>
      <c r="I69" s="33">
        <f t="shared" ref="I69" si="74">IF(I67=0,1,IFERROR(ROUND(I68/I67,4),0))</f>
        <v>1</v>
      </c>
      <c r="J69" s="34">
        <f t="shared" ref="J69" si="75">IF(J67=0,1,IFERROR(ROUND(J68/J67,4),0))</f>
        <v>1</v>
      </c>
      <c r="K69" s="35">
        <f t="shared" ref="K69" si="76">IF(K67=0,1,IFERROR(ROUND(K68/K67,4),0))</f>
        <v>0.96499999999999997</v>
      </c>
      <c r="L69" s="536"/>
      <c r="M69" s="539"/>
      <c r="N69" s="542"/>
      <c r="O69" s="539"/>
      <c r="P69" s="542"/>
      <c r="Q69" s="548"/>
      <c r="R69" s="545"/>
      <c r="S69" s="551"/>
    </row>
    <row r="70" spans="1:19" x14ac:dyDescent="0.2">
      <c r="A70"/>
      <c r="B70" s="518" t="s">
        <v>264</v>
      </c>
      <c r="C70" s="519"/>
      <c r="D70" s="114" t="s">
        <v>243</v>
      </c>
      <c r="E70" s="529">
        <v>0.8</v>
      </c>
      <c r="F70" s="512" t="s">
        <v>256</v>
      </c>
      <c r="G70" s="39">
        <v>831</v>
      </c>
      <c r="H70" s="40">
        <v>216</v>
      </c>
      <c r="I70" s="40">
        <f>IF('Subcases Monthly'!$D$4="","",VLOOKUP('Subcases Monthly'!$D$4,'Timeliness Performance'!$A$4:$DQ$70,110,FALSE))</f>
        <v>0</v>
      </c>
      <c r="J70" s="41"/>
      <c r="K70" s="29">
        <f>SUM(G70:J70)</f>
        <v>1047</v>
      </c>
      <c r="L70" s="534"/>
      <c r="M70" s="537"/>
      <c r="N70" s="540"/>
      <c r="O70" s="537"/>
      <c r="P70" s="540"/>
      <c r="Q70" s="546"/>
      <c r="R70" s="543"/>
      <c r="S70" s="549"/>
    </row>
    <row r="71" spans="1:19" ht="16.5" thickBot="1" x14ac:dyDescent="0.25">
      <c r="A71"/>
      <c r="B71" s="520"/>
      <c r="C71" s="521"/>
      <c r="D71" s="113" t="s">
        <v>259</v>
      </c>
      <c r="E71" s="530"/>
      <c r="F71" s="513"/>
      <c r="G71" s="36">
        <v>801</v>
      </c>
      <c r="H71" s="37">
        <v>208</v>
      </c>
      <c r="I71" s="37">
        <f>IF('Subcases Monthly'!$D$4="","",VLOOKUP('Subcases Monthly'!$D$4,'Timeliness Performance'!$A$4:$DQ$70,111,FALSE))</f>
        <v>0</v>
      </c>
      <c r="J71" s="38"/>
      <c r="K71" s="31">
        <f>SUM(G71:J71)</f>
        <v>1009</v>
      </c>
      <c r="L71" s="535"/>
      <c r="M71" s="538"/>
      <c r="N71" s="541"/>
      <c r="O71" s="538"/>
      <c r="P71" s="541"/>
      <c r="Q71" s="547"/>
      <c r="R71" s="544"/>
      <c r="S71" s="550"/>
    </row>
    <row r="72" spans="1:19" ht="17.25" thickTop="1" thickBot="1" x14ac:dyDescent="0.25">
      <c r="A72"/>
      <c r="B72" s="522"/>
      <c r="C72" s="523"/>
      <c r="D72" s="30" t="s">
        <v>236</v>
      </c>
      <c r="E72" s="531"/>
      <c r="F72" s="514"/>
      <c r="G72" s="32">
        <f>IF(G70=0,1,IFERROR(ROUND(G71/G70,4),0))</f>
        <v>0.96389999999999998</v>
      </c>
      <c r="H72" s="33">
        <f t="shared" ref="H72" si="77">IF(H70=0,1,IFERROR(ROUND(H71/H70,4),0))</f>
        <v>0.96299999999999997</v>
      </c>
      <c r="I72" s="33">
        <f t="shared" ref="I72" si="78">IF(I70=0,1,IFERROR(ROUND(I71/I70,4),0))</f>
        <v>1</v>
      </c>
      <c r="J72" s="34">
        <f t="shared" ref="J72" si="79">IF(J70=0,1,IFERROR(ROUND(J71/J70,4),0))</f>
        <v>1</v>
      </c>
      <c r="K72" s="35">
        <f t="shared" ref="K72" si="80">IF(K70=0,1,IFERROR(ROUND(K71/K70,4),0))</f>
        <v>0.9637</v>
      </c>
      <c r="L72" s="536"/>
      <c r="M72" s="539"/>
      <c r="N72" s="542"/>
      <c r="O72" s="539"/>
      <c r="P72" s="542"/>
      <c r="Q72" s="548"/>
      <c r="R72" s="545"/>
      <c r="S72" s="551"/>
    </row>
    <row r="73" spans="1:19" x14ac:dyDescent="0.2">
      <c r="A73"/>
      <c r="B73" s="518" t="s">
        <v>265</v>
      </c>
      <c r="C73" s="519"/>
      <c r="D73" s="114" t="s">
        <v>243</v>
      </c>
      <c r="E73" s="529">
        <v>0.8</v>
      </c>
      <c r="F73" s="512" t="s">
        <v>266</v>
      </c>
      <c r="G73" s="39">
        <v>34134</v>
      </c>
      <c r="H73" s="40">
        <v>14991</v>
      </c>
      <c r="I73" s="40">
        <f>IF('Subcases Monthly'!$D$4="","",VLOOKUP('Subcases Monthly'!$D$4,'Timeliness Performance'!$A$4:$DQ$70,118,FALSE))</f>
        <v>0</v>
      </c>
      <c r="J73" s="41"/>
      <c r="K73" s="29">
        <f>SUM(G73:J73)</f>
        <v>49125</v>
      </c>
      <c r="L73" s="534"/>
      <c r="M73" s="537"/>
      <c r="N73" s="540"/>
      <c r="O73" s="537"/>
      <c r="P73" s="540"/>
      <c r="Q73" s="546"/>
      <c r="R73" s="543"/>
      <c r="S73" s="549"/>
    </row>
    <row r="74" spans="1:19" ht="16.5" thickBot="1" x14ac:dyDescent="0.25">
      <c r="A74"/>
      <c r="B74" s="520"/>
      <c r="C74" s="521"/>
      <c r="D74" s="113" t="s">
        <v>267</v>
      </c>
      <c r="E74" s="530"/>
      <c r="F74" s="513"/>
      <c r="G74" s="36">
        <v>33108</v>
      </c>
      <c r="H74" s="37">
        <v>14625</v>
      </c>
      <c r="I74" s="37">
        <f>IF('Subcases Monthly'!$D$4="","",VLOOKUP('Subcases Monthly'!$D$4,'Timeliness Performance'!$A$4:$DQ$70,119,FALSE))</f>
        <v>0</v>
      </c>
      <c r="J74" s="38"/>
      <c r="K74" s="31">
        <f>SUM(G74:J74)</f>
        <v>47733</v>
      </c>
      <c r="L74" s="535"/>
      <c r="M74" s="538"/>
      <c r="N74" s="541"/>
      <c r="O74" s="538"/>
      <c r="P74" s="541"/>
      <c r="Q74" s="547"/>
      <c r="R74" s="544"/>
      <c r="S74" s="550"/>
    </row>
    <row r="75" spans="1:19" ht="17.25" thickTop="1" thickBot="1" x14ac:dyDescent="0.25">
      <c r="A75"/>
      <c r="B75" s="522"/>
      <c r="C75" s="523"/>
      <c r="D75" s="30" t="s">
        <v>236</v>
      </c>
      <c r="E75" s="531"/>
      <c r="F75" s="514"/>
      <c r="G75" s="32">
        <f>IF(G73=0,1,IFERROR(ROUND(G74/G73,4),0))</f>
        <v>0.96989999999999998</v>
      </c>
      <c r="H75" s="33">
        <f t="shared" ref="H75" si="81">IF(H73=0,1,IFERROR(ROUND(H74/H73,4),0))</f>
        <v>0.97560000000000002</v>
      </c>
      <c r="I75" s="33">
        <f t="shared" ref="I75" si="82">IF(I73=0,1,IFERROR(ROUND(I74/I73,4),0))</f>
        <v>1</v>
      </c>
      <c r="J75" s="34">
        <f t="shared" ref="J75" si="83">IF(J73=0,1,IFERROR(ROUND(J74/J73,4),0))</f>
        <v>1</v>
      </c>
      <c r="K75" s="35">
        <f t="shared" ref="K75" si="84">IF(K73=0,1,IFERROR(ROUND(K74/K73,4),0))</f>
        <v>0.97170000000000001</v>
      </c>
      <c r="L75" s="536"/>
      <c r="M75" s="539"/>
      <c r="N75" s="542"/>
      <c r="O75" s="539"/>
      <c r="P75" s="542"/>
      <c r="Q75" s="548"/>
      <c r="R75" s="554"/>
      <c r="S75" s="55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6" t="s">
        <v>1906</v>
      </c>
      <c r="B1" s="476"/>
      <c r="C1" s="476"/>
      <c r="D1" s="476"/>
      <c r="E1" s="476"/>
      <c r="F1" s="476"/>
    </row>
    <row r="2" spans="1:19" ht="24" customHeight="1" x14ac:dyDescent="0.2">
      <c r="A2" s="476" t="str">
        <f>'Subcases Monthly'!A2</f>
        <v>County Fiscal Year 2024-2025</v>
      </c>
      <c r="B2" s="476"/>
      <c r="C2" s="476"/>
      <c r="D2" s="476"/>
    </row>
    <row r="3" spans="1:19" ht="24" customHeight="1" x14ac:dyDescent="0.2">
      <c r="N3"/>
      <c r="O3"/>
    </row>
    <row r="4" spans="1:19" ht="24" customHeight="1" x14ac:dyDescent="0.2">
      <c r="A4" s="6"/>
      <c r="C4" s="21" t="s">
        <v>2</v>
      </c>
      <c r="D4" s="499" t="str">
        <f>IF('Subcases Monthly'!D4="","",'Subcases Monthly'!D4)</f>
        <v>Brevard</v>
      </c>
      <c r="E4" s="499"/>
      <c r="F4" s="6"/>
      <c r="G4" s="21" t="s">
        <v>226</v>
      </c>
      <c r="H4" s="499" t="str">
        <f>IF('Subcases Monthly'!H4="","",'Subcases Monthly'!H4)</f>
        <v>January</v>
      </c>
      <c r="I4" s="499"/>
      <c r="K4" s="21" t="s">
        <v>3</v>
      </c>
      <c r="L4" s="91">
        <f>IF('Subcases Monthly'!L4="","",'Subcases Monthly'!L4)</f>
        <v>1</v>
      </c>
      <c r="N4"/>
      <c r="O4"/>
      <c r="Q4" s="484" t="str">
        <f>'Subcases Monthly'!Q4</f>
        <v>CCOC Form Version 1
Created: 11/11/2024</v>
      </c>
      <c r="R4" s="484"/>
    </row>
    <row r="5" spans="1:19" ht="24" customHeight="1" x14ac:dyDescent="0.3">
      <c r="A5" s="6"/>
      <c r="C5" s="21" t="s">
        <v>73</v>
      </c>
      <c r="D5" s="500" t="str">
        <f>IF('Subcases Monthly'!D5="","",'Subcases Monthly'!D5)</f>
        <v xml:space="preserve">Carol Vail </v>
      </c>
      <c r="E5" s="500"/>
      <c r="F5" s="6"/>
      <c r="N5" s="7"/>
      <c r="Q5" s="484"/>
      <c r="R5" s="484"/>
    </row>
    <row r="6" spans="1:19" ht="24" customHeight="1" x14ac:dyDescent="0.3">
      <c r="A6" s="6"/>
      <c r="C6" s="21" t="s">
        <v>84</v>
      </c>
      <c r="D6" s="499" t="str">
        <f>IF('Subcases Monthly'!D6="","",'Subcases Monthly'!D6)</f>
        <v>carol.vail@brevardclerk.us</v>
      </c>
      <c r="E6" s="499"/>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0" t="s">
        <v>376</v>
      </c>
      <c r="F9" s="481"/>
      <c r="G9" s="481"/>
      <c r="H9" s="481"/>
      <c r="I9" s="481"/>
      <c r="J9" s="481"/>
      <c r="K9" s="481"/>
      <c r="L9" s="481"/>
      <c r="M9" s="481"/>
      <c r="N9" s="481"/>
      <c r="O9" s="481"/>
      <c r="P9" s="482"/>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4" t="str">
        <f>'Subcases Monthly'!C11:D11</f>
        <v>Felony Cases (SRS)</v>
      </c>
      <c r="D11" s="475"/>
      <c r="E11" s="224">
        <f>IF('Subcases Monthly'!E11="","",('Subcases Monthly'!E11*'Subcases Weighted Total (Auto)'!$R11))</f>
        <v>4000</v>
      </c>
      <c r="F11" s="225">
        <f>IF('Subcases Monthly'!F11="","",('Subcases Monthly'!F11*'Subcases Weighted Total (Auto)'!$R11))</f>
        <v>4224</v>
      </c>
      <c r="G11" s="225">
        <f>IF('Subcases Monthly'!G11="","",('Subcases Monthly'!G11*'Subcases Weighted Total (Auto)'!$R11))</f>
        <v>3784</v>
      </c>
      <c r="H11" s="225">
        <f>IF('Subcases Monthly'!H11="","",('Subcases Monthly'!H11*'Subcases Weighted Total (Auto)'!$R11))</f>
        <v>4224</v>
      </c>
      <c r="I11" s="225">
        <f>IF('Subcases Monthly'!I11="","",('Subcases Monthly'!I11*'Subcases Weighted Total (Auto)'!$R11))</f>
        <v>0</v>
      </c>
      <c r="J11" s="225">
        <f>IF('Subcases Monthly'!J11="","",('Subcases Monthly'!J11*'Subcases Weighted Total (Auto)'!$R11))</f>
        <v>0</v>
      </c>
      <c r="K11" s="225">
        <f>IF('Subcases Monthly'!K11="","",('Subcases Monthly'!K11*'Subcases Weighted Total (Auto)'!$R11))</f>
        <v>0</v>
      </c>
      <c r="L11" s="225">
        <f>IF('Subcases Monthly'!L11="","",('Subcases Monthly'!L11*'Subcases Weighted Total (Auto)'!$R11))</f>
        <v>0</v>
      </c>
      <c r="M11" s="225">
        <f>IF('Subcases Monthly'!M11="","",('Subcases Monthly'!M11*'Subcases Weighted Total (Auto)'!$R11))</f>
        <v>0</v>
      </c>
      <c r="N11" s="225">
        <f>IF('Subcases Monthly'!N11="","",('Subcases Monthly'!N11*'Subcases Weighted Total (Auto)'!$R11))</f>
        <v>0</v>
      </c>
      <c r="O11" s="225">
        <f>IF('Subcases Monthly'!O11="","",('Subcases Monthly'!O11*'Subcases Weighted Total (Auto)'!$R11))</f>
        <v>0</v>
      </c>
      <c r="P11" s="226">
        <f>IF('Subcases Monthly'!P11="","",('Subcases Monthly'!P11*'Subcases Weighted Total (Auto)'!$R11))</f>
        <v>0</v>
      </c>
      <c r="Q11" s="74">
        <f t="shared" ref="Q11:Q15" si="1">SUM(E11:P11)</f>
        <v>16232</v>
      </c>
      <c r="R11" s="229">
        <f>LookupData!$A$90</f>
        <v>8</v>
      </c>
      <c r="S11" s="4"/>
    </row>
    <row r="12" spans="1:19" ht="20.100000000000001" customHeight="1" x14ac:dyDescent="0.2">
      <c r="B12" s="190"/>
      <c r="C12" s="461" t="str">
        <f>'Subcases Monthly'!C12:D12</f>
        <v>Appeals (AP cases) filed in Circuit Court (SRS)</v>
      </c>
      <c r="D12" s="462"/>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0</v>
      </c>
      <c r="J12" s="227">
        <f>IF('Subcases Monthly'!J12="","",('Subcases Monthly'!J12*'Subcases Weighted Total (Auto)'!$R12))</f>
        <v>0</v>
      </c>
      <c r="K12" s="227">
        <f>IF('Subcases Monthly'!K12="","",('Subcases Monthly'!K12*'Subcases Weighted Total (Auto)'!$R12))</f>
        <v>0</v>
      </c>
      <c r="L12" s="227">
        <f>IF('Subcases Monthly'!L12="","",('Subcases Monthly'!L12*'Subcases Weighted Total (Auto)'!$R12))</f>
        <v>0</v>
      </c>
      <c r="M12" s="227">
        <f>IF('Subcases Monthly'!M12="","",('Subcases Monthly'!M12*'Subcases Weighted Total (Auto)'!$R12))</f>
        <v>0</v>
      </c>
      <c r="N12" s="227">
        <f>IF('Subcases Monthly'!N12="","",('Subcases Monthly'!N12*'Subcases Weighted Total (Auto)'!$R12))</f>
        <v>0</v>
      </c>
      <c r="O12" s="227">
        <f>IF('Subcases Monthly'!O12="","",('Subcases Monthly'!O12*'Subcases Weighted Total (Auto)'!$R12))</f>
        <v>0</v>
      </c>
      <c r="P12" s="228">
        <f>IF('Subcases Monthly'!P12="","",('Subcases Monthly'!P12*'Subcases Weighted Total (Auto)'!$R12))</f>
        <v>0</v>
      </c>
      <c r="Q12" s="74">
        <f t="shared" si="1"/>
        <v>0</v>
      </c>
      <c r="R12" s="229">
        <f>LookupData!$A$91</f>
        <v>4</v>
      </c>
      <c r="S12" s="4"/>
    </row>
    <row r="13" spans="1:19" ht="20.100000000000001" customHeight="1" x14ac:dyDescent="0.2">
      <c r="B13" s="190"/>
      <c r="C13" s="461" t="str">
        <f>'Subcases Monthly'!C13:D13</f>
        <v>Out of State Fugitive Warrants (Non-SRS)</v>
      </c>
      <c r="D13" s="462"/>
      <c r="E13" s="224">
        <f>IF('Subcases Monthly'!E13="","",('Subcases Monthly'!E13*'Subcases Weighted Total (Auto)'!$R13))</f>
        <v>75</v>
      </c>
      <c r="F13" s="225">
        <f>IF('Subcases Monthly'!F13="","",('Subcases Monthly'!F13*'Subcases Weighted Total (Auto)'!$R13))</f>
        <v>63</v>
      </c>
      <c r="G13" s="225">
        <f>IF('Subcases Monthly'!G13="","",('Subcases Monthly'!G13*'Subcases Weighted Total (Auto)'!$R13))</f>
        <v>90</v>
      </c>
      <c r="H13" s="225">
        <f>IF('Subcases Monthly'!H13="","",('Subcases Monthly'!H13*'Subcases Weighted Total (Auto)'!$R13))</f>
        <v>66</v>
      </c>
      <c r="I13" s="225">
        <f>IF('Subcases Monthly'!I13="","",('Subcases Monthly'!I13*'Subcases Weighted Total (Auto)'!$R13))</f>
        <v>0</v>
      </c>
      <c r="J13" s="225">
        <f>IF('Subcases Monthly'!J13="","",('Subcases Monthly'!J13*'Subcases Weighted Total (Auto)'!$R13))</f>
        <v>0</v>
      </c>
      <c r="K13" s="225">
        <f>IF('Subcases Monthly'!K13="","",('Subcases Monthly'!K13*'Subcases Weighted Total (Auto)'!$R13))</f>
        <v>0</v>
      </c>
      <c r="L13" s="225">
        <f>IF('Subcases Monthly'!L13="","",('Subcases Monthly'!L13*'Subcases Weighted Total (Auto)'!$R13))</f>
        <v>0</v>
      </c>
      <c r="M13" s="225">
        <f>IF('Subcases Monthly'!M13="","",('Subcases Monthly'!M13*'Subcases Weighted Total (Auto)'!$R13))</f>
        <v>0</v>
      </c>
      <c r="N13" s="225">
        <f>IF('Subcases Monthly'!N13="","",('Subcases Monthly'!N13*'Subcases Weighted Total (Auto)'!$R13))</f>
        <v>0</v>
      </c>
      <c r="O13" s="225">
        <f>IF('Subcases Monthly'!O13="","",('Subcases Monthly'!O13*'Subcases Weighted Total (Auto)'!$R13))</f>
        <v>0</v>
      </c>
      <c r="P13" s="226">
        <f>IF('Subcases Monthly'!P13="","",('Subcases Monthly'!P13*'Subcases Weighted Total (Auto)'!$R13))</f>
        <v>0</v>
      </c>
      <c r="Q13" s="74">
        <f t="shared" si="1"/>
        <v>294</v>
      </c>
      <c r="R13" s="229">
        <f>LookupData!$A$92</f>
        <v>3</v>
      </c>
      <c r="S13" s="4"/>
    </row>
    <row r="14" spans="1:19" ht="20.100000000000001" customHeight="1" thickBot="1" x14ac:dyDescent="0.25">
      <c r="B14" s="199"/>
      <c r="C14" s="469" t="str">
        <f>'Subcases Monthly'!C14:D14</f>
        <v>Cases unable to be categorized</v>
      </c>
      <c r="D14" s="470"/>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1" t="str">
        <f>'Subcases Monthly'!C15:D15</f>
        <v xml:space="preserve">Total Circuit Criminal = </v>
      </c>
      <c r="D15" s="472"/>
      <c r="E15" s="200">
        <f t="shared" ref="E15:P15" si="2">SUM(E11:E14)</f>
        <v>4075</v>
      </c>
      <c r="F15" s="201">
        <f t="shared" si="2"/>
        <v>4287</v>
      </c>
      <c r="G15" s="201">
        <f t="shared" si="2"/>
        <v>3874</v>
      </c>
      <c r="H15" s="201">
        <f t="shared" si="2"/>
        <v>4290</v>
      </c>
      <c r="I15" s="201">
        <f t="shared" si="2"/>
        <v>0</v>
      </c>
      <c r="J15" s="201">
        <f t="shared" si="2"/>
        <v>0</v>
      </c>
      <c r="K15" s="201">
        <f t="shared" si="2"/>
        <v>0</v>
      </c>
      <c r="L15" s="201">
        <f t="shared" si="2"/>
        <v>0</v>
      </c>
      <c r="M15" s="201">
        <f t="shared" si="2"/>
        <v>0</v>
      </c>
      <c r="N15" s="201">
        <f t="shared" si="2"/>
        <v>0</v>
      </c>
      <c r="O15" s="201">
        <f t="shared" si="2"/>
        <v>0</v>
      </c>
      <c r="P15" s="202">
        <f t="shared" si="2"/>
        <v>0</v>
      </c>
      <c r="Q15" s="112">
        <f t="shared" si="1"/>
        <v>16526</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4" t="str">
        <f>'Subcases Monthly'!C18:D18</f>
        <v>Misdemeanors/Worthless Checks (SRS)</v>
      </c>
      <c r="D18" s="475"/>
      <c r="E18" s="92">
        <f>IF('Subcases Monthly'!E18="","",('Subcases Monthly'!E18*'Subcases Weighted Total (Auto)'!$R18))</f>
        <v>2583</v>
      </c>
      <c r="F18" s="93">
        <f>IF('Subcases Monthly'!F18="","",('Subcases Monthly'!F18*'Subcases Weighted Total (Auto)'!$R18))</f>
        <v>2856</v>
      </c>
      <c r="G18" s="93">
        <f>IF('Subcases Monthly'!G18="","",('Subcases Monthly'!G18*'Subcases Weighted Total (Auto)'!$R18))</f>
        <v>3080</v>
      </c>
      <c r="H18" s="93">
        <f>IF('Subcases Monthly'!H18="","",('Subcases Monthly'!H18*'Subcases Weighted Total (Auto)'!$R18))</f>
        <v>2429</v>
      </c>
      <c r="I18" s="93">
        <f>IF('Subcases Monthly'!I18="","",('Subcases Monthly'!I18*'Subcases Weighted Total (Auto)'!$R18))</f>
        <v>0</v>
      </c>
      <c r="J18" s="93">
        <f>IF('Subcases Monthly'!J18="","",('Subcases Monthly'!J18*'Subcases Weighted Total (Auto)'!$R18))</f>
        <v>0</v>
      </c>
      <c r="K18" s="93">
        <f>IF('Subcases Monthly'!K18="","",('Subcases Monthly'!K18*'Subcases Weighted Total (Auto)'!$R18))</f>
        <v>0</v>
      </c>
      <c r="L18" s="93">
        <f>IF('Subcases Monthly'!L18="","",('Subcases Monthly'!L18*'Subcases Weighted Total (Auto)'!$R18))</f>
        <v>0</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10948</v>
      </c>
      <c r="R18" s="203">
        <f>LookupData!$A$95</f>
        <v>7</v>
      </c>
      <c r="S18" s="4"/>
    </row>
    <row r="19" spans="1:19" ht="20.100000000000001" customHeight="1" x14ac:dyDescent="0.2">
      <c r="B19" s="190" t="str">
        <f>IF('Subcases Monthly'!B19="","",'Subcases Monthly'!B19)</f>
        <v/>
      </c>
      <c r="C19" s="461" t="str">
        <f>'Subcases Monthly'!C19:D19</f>
        <v>County/Municipal Ordinances (SRS)</v>
      </c>
      <c r="D19" s="462"/>
      <c r="E19" s="95">
        <f>IF('Subcases Monthly'!E19="","",('Subcases Monthly'!E19*'Subcases Weighted Total (Auto)'!$R19))</f>
        <v>20</v>
      </c>
      <c r="F19" s="96">
        <f>IF('Subcases Monthly'!F19="","",('Subcases Monthly'!F19*'Subcases Weighted Total (Auto)'!$R19))</f>
        <v>25</v>
      </c>
      <c r="G19" s="96">
        <f>IF('Subcases Monthly'!G19="","",('Subcases Monthly'!G19*'Subcases Weighted Total (Auto)'!$R19))</f>
        <v>50</v>
      </c>
      <c r="H19" s="96">
        <f>IF('Subcases Monthly'!H19="","",('Subcases Monthly'!H19*'Subcases Weighted Total (Auto)'!$R19))</f>
        <v>120</v>
      </c>
      <c r="I19" s="96">
        <f>IF('Subcases Monthly'!I19="","",('Subcases Monthly'!I19*'Subcases Weighted Total (Auto)'!$R19))</f>
        <v>0</v>
      </c>
      <c r="J19" s="96">
        <f>IF('Subcases Monthly'!J19="","",('Subcases Monthly'!J19*'Subcases Weighted Total (Auto)'!$R19))</f>
        <v>0</v>
      </c>
      <c r="K19" s="96">
        <f>IF('Subcases Monthly'!K19="","",('Subcases Monthly'!K19*'Subcases Weighted Total (Auto)'!$R19))</f>
        <v>0</v>
      </c>
      <c r="L19" s="96">
        <f>IF('Subcases Monthly'!L19="","",('Subcases Monthly'!L19*'Subcases Weighted Total (Auto)'!$R19))</f>
        <v>0</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215</v>
      </c>
      <c r="R19" s="204">
        <f>LookupData!$A$96</f>
        <v>5</v>
      </c>
      <c r="S19" s="4"/>
    </row>
    <row r="20" spans="1:19" ht="20.100000000000001" customHeight="1" x14ac:dyDescent="0.2">
      <c r="B20" s="190" t="str">
        <f>IF('Subcases Monthly'!B20="","",'Subcases Monthly'!B20)</f>
        <v/>
      </c>
      <c r="C20" s="461" t="str">
        <f>'Subcases Monthly'!C20:D20</f>
        <v>Non-Criminal Infractions (SRS)</v>
      </c>
      <c r="D20" s="462"/>
      <c r="E20" s="98">
        <f>IF('Subcases Monthly'!E20="","",('Subcases Monthly'!E20*'Subcases Weighted Total (Auto)'!$R20))</f>
        <v>336</v>
      </c>
      <c r="F20" s="99">
        <f>IF('Subcases Monthly'!F20="","",('Subcases Monthly'!F20*'Subcases Weighted Total (Auto)'!$R20))</f>
        <v>456</v>
      </c>
      <c r="G20" s="99">
        <f>IF('Subcases Monthly'!G20="","",('Subcases Monthly'!G20*'Subcases Weighted Total (Auto)'!$R20))</f>
        <v>402</v>
      </c>
      <c r="H20" s="99">
        <f>IF('Subcases Monthly'!H20="","",('Subcases Monthly'!H20*'Subcases Weighted Total (Auto)'!$R20))</f>
        <v>411</v>
      </c>
      <c r="I20" s="99">
        <f>IF('Subcases Monthly'!I20="","",('Subcases Monthly'!I20*'Subcases Weighted Total (Auto)'!$R20))</f>
        <v>0</v>
      </c>
      <c r="J20" s="99">
        <f>IF('Subcases Monthly'!J20="","",('Subcases Monthly'!J20*'Subcases Weighted Total (Auto)'!$R20))</f>
        <v>0</v>
      </c>
      <c r="K20" s="99">
        <f>IF('Subcases Monthly'!K20="","",('Subcases Monthly'!K20*'Subcases Weighted Total (Auto)'!$R20))</f>
        <v>0</v>
      </c>
      <c r="L20" s="99">
        <f>IF('Subcases Monthly'!L20="","",('Subcases Monthly'!L20*'Subcases Weighted Total (Auto)'!$R20))</f>
        <v>0</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1605</v>
      </c>
      <c r="R20" s="204">
        <f>LookupData!$A$97</f>
        <v>3</v>
      </c>
      <c r="S20" s="4"/>
    </row>
    <row r="21" spans="1:19" ht="20.100000000000001" customHeight="1" x14ac:dyDescent="0.2">
      <c r="B21" s="190"/>
      <c r="C21" s="461" t="str">
        <f>'Subcases Monthly'!C21:D21</f>
        <v>Out of State Fugitive Warrants (Non-SRS)</v>
      </c>
      <c r="D21" s="462"/>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69" t="str">
        <f>'Subcases Monthly'!C22:D22</f>
        <v>Cases unable to be categorized</v>
      </c>
      <c r="D22" s="470"/>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1" t="str">
        <f>'Subcases Monthly'!C23:D23</f>
        <v>Total County Criminal =</v>
      </c>
      <c r="D23" s="472"/>
      <c r="E23" s="200">
        <f t="shared" ref="E23:P23" si="5">SUM(E18:E22)</f>
        <v>2939</v>
      </c>
      <c r="F23" s="201">
        <f t="shared" si="5"/>
        <v>3337</v>
      </c>
      <c r="G23" s="201">
        <f t="shared" si="5"/>
        <v>3532</v>
      </c>
      <c r="H23" s="201">
        <f t="shared" si="5"/>
        <v>2960</v>
      </c>
      <c r="I23" s="201">
        <f t="shared" si="5"/>
        <v>0</v>
      </c>
      <c r="J23" s="201">
        <f t="shared" si="5"/>
        <v>0</v>
      </c>
      <c r="K23" s="201">
        <f t="shared" si="5"/>
        <v>0</v>
      </c>
      <c r="L23" s="201">
        <f t="shared" si="5"/>
        <v>0</v>
      </c>
      <c r="M23" s="201">
        <f t="shared" si="5"/>
        <v>0</v>
      </c>
      <c r="N23" s="201">
        <f t="shared" si="5"/>
        <v>0</v>
      </c>
      <c r="O23" s="201">
        <f t="shared" si="5"/>
        <v>0</v>
      </c>
      <c r="P23" s="202">
        <f t="shared" si="5"/>
        <v>0</v>
      </c>
      <c r="Q23" s="110">
        <f t="shared" si="4"/>
        <v>12768</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4" t="str">
        <f>'Subcases Monthly'!C26:D26</f>
        <v>Delinquency Complaints, Incl Xfers for Disposition (SRS)</v>
      </c>
      <c r="D26" s="475"/>
      <c r="E26" s="92">
        <f>IF('Subcases Monthly'!E26="","",('Subcases Monthly'!E26*'Subcases Weighted Total (Auto)'!$R26))</f>
        <v>672</v>
      </c>
      <c r="F26" s="93">
        <f>IF('Subcases Monthly'!F26="","",('Subcases Monthly'!F26*'Subcases Weighted Total (Auto)'!$R26))</f>
        <v>665</v>
      </c>
      <c r="G26" s="93">
        <f>IF('Subcases Monthly'!G26="","",('Subcases Monthly'!G26*'Subcases Weighted Total (Auto)'!$R26))</f>
        <v>532</v>
      </c>
      <c r="H26" s="93">
        <f>IF('Subcases Monthly'!H26="","",('Subcases Monthly'!H26*'Subcases Weighted Total (Auto)'!$R26))</f>
        <v>490</v>
      </c>
      <c r="I26" s="93">
        <f>IF('Subcases Monthly'!I26="","",('Subcases Monthly'!I26*'Subcases Weighted Total (Auto)'!$R26))</f>
        <v>0</v>
      </c>
      <c r="J26" s="93">
        <f>IF('Subcases Monthly'!J26="","",('Subcases Monthly'!J26*'Subcases Weighted Total (Auto)'!$R26))</f>
        <v>0</v>
      </c>
      <c r="K26" s="93">
        <f>IF('Subcases Monthly'!K26="","",('Subcases Monthly'!K26*'Subcases Weighted Total (Auto)'!$R26))</f>
        <v>0</v>
      </c>
      <c r="L26" s="93">
        <f>IF('Subcases Monthly'!L26="","",('Subcases Monthly'!L26*'Subcases Weighted Total (Auto)'!$R26))</f>
        <v>0</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2359</v>
      </c>
      <c r="R26" s="203">
        <f>LookupData!$A$101</f>
        <v>7</v>
      </c>
      <c r="S26" s="4"/>
    </row>
    <row r="27" spans="1:19" ht="20.100000000000001" customHeight="1" x14ac:dyDescent="0.2">
      <c r="B27" s="190"/>
      <c r="C27" s="461" t="str">
        <f>'Subcases Monthly'!C27:D27</f>
        <v>Non-criminal (1st offense) juvenile sexting cases</v>
      </c>
      <c r="D27" s="462"/>
      <c r="E27" s="95">
        <f>IF('Subcases Monthly'!E27="","",('Subcases Monthly'!E27*'Subcases Weighted Total (Auto)'!$R27))</f>
        <v>0</v>
      </c>
      <c r="F27" s="96">
        <f>IF('Subcases Monthly'!F27="","",('Subcases Monthly'!F27*'Subcases Weighted Total (Auto)'!$R27))</f>
        <v>0</v>
      </c>
      <c r="G27" s="96">
        <f>IF('Subcases Monthly'!G27="","",('Subcases Monthly'!G27*'Subcases Weighted Total (Auto)'!$R27))</f>
        <v>6</v>
      </c>
      <c r="H27" s="96">
        <f>IF('Subcases Monthly'!H27="","",('Subcases Monthly'!H27*'Subcases Weighted Total (Auto)'!$R27))</f>
        <v>0</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0</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6</v>
      </c>
      <c r="R27" s="204">
        <f>LookupData!$A$102</f>
        <v>3</v>
      </c>
      <c r="S27" s="4"/>
    </row>
    <row r="28" spans="1:19" ht="20.100000000000001" customHeight="1" x14ac:dyDescent="0.2">
      <c r="B28" s="190" t="str">
        <f>IF('Subcases Monthly'!B28="","",'Subcases Monthly'!B28)</f>
        <v/>
      </c>
      <c r="C28" s="461" t="str">
        <f>'Subcases Monthly'!C28:D28</f>
        <v>Transfers for Jurisdiction/Supervision Only (Non-SRS)</v>
      </c>
      <c r="D28" s="462"/>
      <c r="E28" s="98">
        <f>IF('Subcases Monthly'!E28="","",('Subcases Monthly'!E28*'Subcases Weighted Total (Auto)'!$R28))</f>
        <v>4</v>
      </c>
      <c r="F28" s="99">
        <f>IF('Subcases Monthly'!F28="","",('Subcases Monthly'!F28*'Subcases Weighted Total (Auto)'!$R28))</f>
        <v>0</v>
      </c>
      <c r="G28" s="99">
        <f>IF('Subcases Monthly'!G28="","",('Subcases Monthly'!G28*'Subcases Weighted Total (Auto)'!$R28))</f>
        <v>4</v>
      </c>
      <c r="H28" s="99">
        <f>IF('Subcases Monthly'!H28="","",('Subcases Monthly'!H28*'Subcases Weighted Total (Auto)'!$R28))</f>
        <v>4</v>
      </c>
      <c r="I28" s="99">
        <f>IF('Subcases Monthly'!I28="","",('Subcases Monthly'!I28*'Subcases Weighted Total (Auto)'!$R28))</f>
        <v>0</v>
      </c>
      <c r="J28" s="99">
        <f>IF('Subcases Monthly'!J28="","",('Subcases Monthly'!J28*'Subcases Weighted Total (Auto)'!$R28))</f>
        <v>0</v>
      </c>
      <c r="K28" s="99">
        <f>IF('Subcases Monthly'!K28="","",('Subcases Monthly'!K28*'Subcases Weighted Total (Auto)'!$R28))</f>
        <v>0</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12</v>
      </c>
      <c r="R28" s="204">
        <f>LookupData!$A$103</f>
        <v>4</v>
      </c>
      <c r="S28" s="4"/>
    </row>
    <row r="29" spans="1:19" ht="20.100000000000001" customHeight="1" thickBot="1" x14ac:dyDescent="0.25">
      <c r="B29" s="191">
        <f>IF('Subcases Monthly'!B29="","",'Subcases Monthly'!B29)</f>
        <v>1</v>
      </c>
      <c r="C29" s="469" t="str">
        <f>'Subcases Monthly'!C29:D29</f>
        <v>Cases unable to be categorized</v>
      </c>
      <c r="D29" s="470"/>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1" t="str">
        <f>'Subcases Monthly'!C30:D30</f>
        <v xml:space="preserve">Total Juvenile Delinquency = </v>
      </c>
      <c r="D30" s="472"/>
      <c r="E30" s="200">
        <f t="shared" ref="E30:P30" si="8">SUM(E26:E29)</f>
        <v>676</v>
      </c>
      <c r="F30" s="201">
        <f t="shared" si="8"/>
        <v>665</v>
      </c>
      <c r="G30" s="201">
        <f t="shared" si="8"/>
        <v>542</v>
      </c>
      <c r="H30" s="201">
        <f t="shared" si="8"/>
        <v>494</v>
      </c>
      <c r="I30" s="201">
        <f t="shared" si="8"/>
        <v>0</v>
      </c>
      <c r="J30" s="201">
        <f t="shared" si="8"/>
        <v>0</v>
      </c>
      <c r="K30" s="201">
        <f t="shared" si="8"/>
        <v>0</v>
      </c>
      <c r="L30" s="201">
        <f t="shared" si="8"/>
        <v>0</v>
      </c>
      <c r="M30" s="201">
        <f t="shared" si="8"/>
        <v>0</v>
      </c>
      <c r="N30" s="201">
        <f t="shared" si="8"/>
        <v>0</v>
      </c>
      <c r="O30" s="201">
        <f t="shared" si="8"/>
        <v>0</v>
      </c>
      <c r="P30" s="202">
        <f t="shared" si="8"/>
        <v>0</v>
      </c>
      <c r="Q30" s="110">
        <f t="shared" si="7"/>
        <v>2377</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4" t="str">
        <f>'Subcases Monthly'!C33:D33</f>
        <v>DUI (SRS)</v>
      </c>
      <c r="D33" s="475"/>
      <c r="E33" s="92">
        <f>IF('Subcases Monthly'!E33="","",('Subcases Monthly'!E33*'Subcases Weighted Total (Auto)'!$R33))</f>
        <v>1050</v>
      </c>
      <c r="F33" s="93">
        <f>IF('Subcases Monthly'!F33="","",('Subcases Monthly'!F33*'Subcases Weighted Total (Auto)'!$R33))</f>
        <v>1120</v>
      </c>
      <c r="G33" s="93">
        <f>IF('Subcases Monthly'!G33="","",('Subcases Monthly'!G33*'Subcases Weighted Total (Auto)'!$R33))</f>
        <v>1253</v>
      </c>
      <c r="H33" s="93">
        <f>IF('Subcases Monthly'!H33="","",('Subcases Monthly'!H33*'Subcases Weighted Total (Auto)'!$R33))</f>
        <v>1106</v>
      </c>
      <c r="I33" s="93">
        <f>IF('Subcases Monthly'!I33="","",('Subcases Monthly'!I33*'Subcases Weighted Total (Auto)'!$R33))</f>
        <v>0</v>
      </c>
      <c r="J33" s="93">
        <f>IF('Subcases Monthly'!J33="","",('Subcases Monthly'!J33*'Subcases Weighted Total (Auto)'!$R33))</f>
        <v>0</v>
      </c>
      <c r="K33" s="93">
        <f>IF('Subcases Monthly'!K33="","",('Subcases Monthly'!K33*'Subcases Weighted Total (Auto)'!$R33))</f>
        <v>0</v>
      </c>
      <c r="L33" s="93">
        <f>IF('Subcases Monthly'!L33="","",('Subcases Monthly'!L33*'Subcases Weighted Total (Auto)'!$R33))</f>
        <v>0</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4529</v>
      </c>
      <c r="R33" s="203">
        <f>LookupData!$A$106</f>
        <v>7</v>
      </c>
      <c r="S33" s="4"/>
    </row>
    <row r="34" spans="2:19" ht="20.100000000000001" customHeight="1" x14ac:dyDescent="0.2">
      <c r="B34" s="190" t="str">
        <f>IF('Subcases Monthly'!B34="","",'Subcases Monthly'!B34)</f>
        <v/>
      </c>
      <c r="C34" s="461" t="str">
        <f>'Subcases Monthly'!C34:D34</f>
        <v>Other Criminal Traffic (SRS)</v>
      </c>
      <c r="D34" s="462"/>
      <c r="E34" s="95">
        <f>IF('Subcases Monthly'!E34="","",('Subcases Monthly'!E34*'Subcases Weighted Total (Auto)'!$R34))</f>
        <v>3366</v>
      </c>
      <c r="F34" s="96">
        <f>IF('Subcases Monthly'!F34="","",('Subcases Monthly'!F34*'Subcases Weighted Total (Auto)'!$R34))</f>
        <v>3294</v>
      </c>
      <c r="G34" s="96">
        <f>IF('Subcases Monthly'!G34="","",('Subcases Monthly'!G34*'Subcases Weighted Total (Auto)'!$R34))</f>
        <v>3330</v>
      </c>
      <c r="H34" s="96">
        <f>IF('Subcases Monthly'!H34="","",('Subcases Monthly'!H34*'Subcases Weighted Total (Auto)'!$R34))</f>
        <v>4032</v>
      </c>
      <c r="I34" s="96">
        <f>IF('Subcases Monthly'!I34="","",('Subcases Monthly'!I34*'Subcases Weighted Total (Auto)'!$R34))</f>
        <v>0</v>
      </c>
      <c r="J34" s="96">
        <f>IF('Subcases Monthly'!J34="","",('Subcases Monthly'!J34*'Subcases Weighted Total (Auto)'!$R34))</f>
        <v>0</v>
      </c>
      <c r="K34" s="96">
        <f>IF('Subcases Monthly'!K34="","",('Subcases Monthly'!K34*'Subcases Weighted Total (Auto)'!$R34))</f>
        <v>0</v>
      </c>
      <c r="L34" s="96">
        <f>IF('Subcases Monthly'!L34="","",('Subcases Monthly'!L34*'Subcases Weighted Total (Auto)'!$R34))</f>
        <v>0</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14022</v>
      </c>
      <c r="R34" s="204">
        <f>LookupData!$A$107</f>
        <v>6</v>
      </c>
      <c r="S34" s="4"/>
    </row>
    <row r="35" spans="2:19" ht="20.100000000000001" customHeight="1" thickBot="1" x14ac:dyDescent="0.25">
      <c r="B35" s="191">
        <f>IF('Subcases Monthly'!B35="","",'Subcases Monthly'!B35)</f>
        <v>1</v>
      </c>
      <c r="C35" s="469" t="str">
        <f>'Subcases Monthly'!C35:D35</f>
        <v>Cases unable to be categorized</v>
      </c>
      <c r="D35" s="470"/>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1" t="str">
        <f>'Subcases Monthly'!C36:D36</f>
        <v xml:space="preserve">Total Criminal Traffic - UTCs = </v>
      </c>
      <c r="D36" s="472"/>
      <c r="E36" s="200">
        <f t="shared" ref="E36:P36" si="11">SUM(E33:E35)</f>
        <v>4416</v>
      </c>
      <c r="F36" s="201">
        <f t="shared" si="11"/>
        <v>4414</v>
      </c>
      <c r="G36" s="201">
        <f t="shared" si="11"/>
        <v>4583</v>
      </c>
      <c r="H36" s="201">
        <f t="shared" si="11"/>
        <v>5138</v>
      </c>
      <c r="I36" s="201">
        <f t="shared" si="11"/>
        <v>0</v>
      </c>
      <c r="J36" s="201">
        <f t="shared" si="11"/>
        <v>0</v>
      </c>
      <c r="K36" s="201">
        <f t="shared" si="11"/>
        <v>0</v>
      </c>
      <c r="L36" s="201">
        <f t="shared" si="11"/>
        <v>0</v>
      </c>
      <c r="M36" s="201">
        <f t="shared" si="11"/>
        <v>0</v>
      </c>
      <c r="N36" s="201">
        <f t="shared" si="11"/>
        <v>0</v>
      </c>
      <c r="O36" s="201">
        <f t="shared" si="11"/>
        <v>0</v>
      </c>
      <c r="P36" s="202">
        <f t="shared" si="11"/>
        <v>0</v>
      </c>
      <c r="Q36" s="111">
        <f t="shared" si="10"/>
        <v>18551</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4" t="str">
        <f>'Subcases Monthly'!C39:D39</f>
        <v>Professional Malpractice (SRS)</v>
      </c>
      <c r="D39" s="475"/>
      <c r="E39" s="92">
        <f>IF('Subcases Monthly'!E39="","",('Subcases Monthly'!E39*'Subcases Weighted Total (Auto)'!$R39))</f>
        <v>14</v>
      </c>
      <c r="F39" s="93">
        <f>IF('Subcases Monthly'!F39="","",('Subcases Monthly'!F39*'Subcases Weighted Total (Auto)'!$R39))</f>
        <v>7</v>
      </c>
      <c r="G39" s="93">
        <f>IF('Subcases Monthly'!G39="","",('Subcases Monthly'!G39*'Subcases Weighted Total (Auto)'!$R39))</f>
        <v>28</v>
      </c>
      <c r="H39" s="93">
        <f>IF('Subcases Monthly'!H39="","",('Subcases Monthly'!H39*'Subcases Weighted Total (Auto)'!$R39))</f>
        <v>7</v>
      </c>
      <c r="I39" s="93">
        <f>IF('Subcases Monthly'!I39="","",('Subcases Monthly'!I39*'Subcases Weighted Total (Auto)'!$R39))</f>
        <v>0</v>
      </c>
      <c r="J39" s="93">
        <f>IF('Subcases Monthly'!J39="","",('Subcases Monthly'!J39*'Subcases Weighted Total (Auto)'!$R39))</f>
        <v>0</v>
      </c>
      <c r="K39" s="93">
        <f>IF('Subcases Monthly'!K39="","",('Subcases Monthly'!K39*'Subcases Weighted Total (Auto)'!$R39))</f>
        <v>0</v>
      </c>
      <c r="L39" s="93">
        <f>IF('Subcases Monthly'!L39="","",('Subcases Monthly'!L39*'Subcases Weighted Total (Auto)'!$R39))</f>
        <v>0</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56</v>
      </c>
      <c r="R39" s="178">
        <f>LookupData!$A$110</f>
        <v>7</v>
      </c>
      <c r="S39" s="4"/>
    </row>
    <row r="40" spans="2:19" ht="20.100000000000001" customHeight="1" x14ac:dyDescent="0.2">
      <c r="B40" s="190" t="str">
        <f>IF('Subcases Monthly'!B40="","",'Subcases Monthly'!B40)</f>
        <v/>
      </c>
      <c r="C40" s="461" t="str">
        <f>'Subcases Monthly'!C40:D40</f>
        <v>Products Liability (SRS)</v>
      </c>
      <c r="D40" s="462"/>
      <c r="E40" s="95">
        <f>IF('Subcases Monthly'!E40="","",('Subcases Monthly'!E40*'Subcases Weighted Total (Auto)'!$R40))</f>
        <v>0</v>
      </c>
      <c r="F40" s="96">
        <f>IF('Subcases Monthly'!F40="","",('Subcases Monthly'!F40*'Subcases Weighted Total (Auto)'!$R40))</f>
        <v>0</v>
      </c>
      <c r="G40" s="96">
        <f>IF('Subcases Monthly'!G40="","",('Subcases Monthly'!G40*'Subcases Weighted Total (Auto)'!$R40))</f>
        <v>14</v>
      </c>
      <c r="H40" s="96">
        <f>IF('Subcases Monthly'!H40="","",('Subcases Monthly'!H40*'Subcases Weighted Total (Auto)'!$R40))</f>
        <v>0</v>
      </c>
      <c r="I40" s="96">
        <f>IF('Subcases Monthly'!I40="","",('Subcases Monthly'!I40*'Subcases Weighted Total (Auto)'!$R40))</f>
        <v>0</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14</v>
      </c>
      <c r="R40" s="179">
        <f>LookupData!$A$111</f>
        <v>7</v>
      </c>
      <c r="S40" s="4"/>
    </row>
    <row r="41" spans="2:19" ht="20.100000000000001" customHeight="1" x14ac:dyDescent="0.2">
      <c r="B41" s="190" t="str">
        <f>IF('Subcases Monthly'!B41="","",'Subcases Monthly'!B41)</f>
        <v/>
      </c>
      <c r="C41" s="461" t="str">
        <f>'Subcases Monthly'!C41:D41</f>
        <v>Auto Negligence (SRS)</v>
      </c>
      <c r="D41" s="462"/>
      <c r="E41" s="98">
        <f>IF('Subcases Monthly'!E41="","",('Subcases Monthly'!E41*'Subcases Weighted Total (Auto)'!$R41))</f>
        <v>546</v>
      </c>
      <c r="F41" s="99">
        <f>IF('Subcases Monthly'!F41="","",('Subcases Monthly'!F41*'Subcases Weighted Total (Auto)'!$R41))</f>
        <v>434</v>
      </c>
      <c r="G41" s="99">
        <f>IF('Subcases Monthly'!G41="","",('Subcases Monthly'!G41*'Subcases Weighted Total (Auto)'!$R41))</f>
        <v>679</v>
      </c>
      <c r="H41" s="99">
        <f>IF('Subcases Monthly'!H41="","",('Subcases Monthly'!H41*'Subcases Weighted Total (Auto)'!$R41))</f>
        <v>616</v>
      </c>
      <c r="I41" s="99">
        <f>IF('Subcases Monthly'!I41="","",('Subcases Monthly'!I41*'Subcases Weighted Total (Auto)'!$R41))</f>
        <v>0</v>
      </c>
      <c r="J41" s="99">
        <f>IF('Subcases Monthly'!J41="","",('Subcases Monthly'!J41*'Subcases Weighted Total (Auto)'!$R41))</f>
        <v>0</v>
      </c>
      <c r="K41" s="99">
        <f>IF('Subcases Monthly'!K41="","",('Subcases Monthly'!K41*'Subcases Weighted Total (Auto)'!$R41))</f>
        <v>0</v>
      </c>
      <c r="L41" s="99">
        <f>IF('Subcases Monthly'!L41="","",('Subcases Monthly'!L41*'Subcases Weighted Total (Auto)'!$R41))</f>
        <v>0</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2275</v>
      </c>
      <c r="R41" s="179">
        <f>LookupData!$A$112</f>
        <v>7</v>
      </c>
      <c r="S41" s="4"/>
    </row>
    <row r="42" spans="2:19" ht="20.100000000000001" customHeight="1" x14ac:dyDescent="0.2">
      <c r="B42" s="190" t="str">
        <f>IF('Subcases Monthly'!B42="","",'Subcases Monthly'!B42)</f>
        <v/>
      </c>
      <c r="C42" s="461" t="str">
        <f>'Subcases Monthly'!C42:D42</f>
        <v>Condominium (SRS)</v>
      </c>
      <c r="D42" s="462"/>
      <c r="E42" s="95">
        <f>IF('Subcases Monthly'!E42="","",('Subcases Monthly'!E42*'Subcases Weighted Total (Auto)'!$R42))</f>
        <v>6</v>
      </c>
      <c r="F42" s="96">
        <f>IF('Subcases Monthly'!F42="","",('Subcases Monthly'!F42*'Subcases Weighted Total (Auto)'!$R42))</f>
        <v>6</v>
      </c>
      <c r="G42" s="96">
        <f>IF('Subcases Monthly'!G42="","",('Subcases Monthly'!G42*'Subcases Weighted Total (Auto)'!$R42))</f>
        <v>6</v>
      </c>
      <c r="H42" s="96">
        <f>IF('Subcases Monthly'!H42="","",('Subcases Monthly'!H42*'Subcases Weighted Total (Auto)'!$R42))</f>
        <v>0</v>
      </c>
      <c r="I42" s="96">
        <f>IF('Subcases Monthly'!I42="","",('Subcases Monthly'!I42*'Subcases Weighted Total (Auto)'!$R42))</f>
        <v>0</v>
      </c>
      <c r="J42" s="96">
        <f>IF('Subcases Monthly'!J42="","",('Subcases Monthly'!J42*'Subcases Weighted Total (Auto)'!$R42))</f>
        <v>0</v>
      </c>
      <c r="K42" s="96">
        <f>IF('Subcases Monthly'!K42="","",('Subcases Monthly'!K42*'Subcases Weighted Total (Auto)'!$R42))</f>
        <v>0</v>
      </c>
      <c r="L42" s="96">
        <f>IF('Subcases Monthly'!L42="","",('Subcases Monthly'!L42*'Subcases Weighted Total (Auto)'!$R42))</f>
        <v>0</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18</v>
      </c>
      <c r="R42" s="179">
        <f>LookupData!$A$113</f>
        <v>6</v>
      </c>
      <c r="S42" s="4"/>
    </row>
    <row r="43" spans="2:19" ht="20.100000000000001" customHeight="1" x14ac:dyDescent="0.2">
      <c r="B43" s="190" t="str">
        <f>IF('Subcases Monthly'!B43="","",'Subcases Monthly'!B43)</f>
        <v/>
      </c>
      <c r="C43" s="461" t="str">
        <f>'Subcases Monthly'!C43:D43</f>
        <v>Contract and Indebtedness (SRS)</v>
      </c>
      <c r="D43" s="462"/>
      <c r="E43" s="98">
        <f>IF('Subcases Monthly'!E43="","",('Subcases Monthly'!E43*'Subcases Weighted Total (Auto)'!$R43))</f>
        <v>384</v>
      </c>
      <c r="F43" s="99">
        <f>IF('Subcases Monthly'!F43="","",('Subcases Monthly'!F43*'Subcases Weighted Total (Auto)'!$R43))</f>
        <v>258</v>
      </c>
      <c r="G43" s="99">
        <f>IF('Subcases Monthly'!G43="","",('Subcases Monthly'!G43*'Subcases Weighted Total (Auto)'!$R43))</f>
        <v>282</v>
      </c>
      <c r="H43" s="99">
        <f>IF('Subcases Monthly'!H43="","",('Subcases Monthly'!H43*'Subcases Weighted Total (Auto)'!$R43))</f>
        <v>234</v>
      </c>
      <c r="I43" s="99">
        <f>IF('Subcases Monthly'!I43="","",('Subcases Monthly'!I43*'Subcases Weighted Total (Auto)'!$R43))</f>
        <v>0</v>
      </c>
      <c r="J43" s="99">
        <f>IF('Subcases Monthly'!J43="","",('Subcases Monthly'!J43*'Subcases Weighted Total (Auto)'!$R43))</f>
        <v>0</v>
      </c>
      <c r="K43" s="99">
        <f>IF('Subcases Monthly'!K43="","",('Subcases Monthly'!K43*'Subcases Weighted Total (Auto)'!$R43))</f>
        <v>0</v>
      </c>
      <c r="L43" s="99">
        <f>IF('Subcases Monthly'!L43="","",('Subcases Monthly'!L43*'Subcases Weighted Total (Auto)'!$R43))</f>
        <v>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1158</v>
      </c>
      <c r="R43" s="179">
        <f>LookupData!$A$114</f>
        <v>6</v>
      </c>
      <c r="S43" s="4"/>
    </row>
    <row r="44" spans="2:19" ht="20.100000000000001" customHeight="1" x14ac:dyDescent="0.2">
      <c r="B44" s="190" t="str">
        <f>IF('Subcases Monthly'!B44="","",'Subcases Monthly'!B44)</f>
        <v/>
      </c>
      <c r="C44" s="461" t="str">
        <f>'Subcases Monthly'!C44:D44</f>
        <v>Eminent Domain Parcels (SRS)</v>
      </c>
      <c r="D44" s="462"/>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0</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0</v>
      </c>
      <c r="R44" s="179">
        <f>LookupData!$A$115</f>
        <v>7</v>
      </c>
      <c r="S44" s="4"/>
    </row>
    <row r="45" spans="2:19" ht="20.100000000000001" customHeight="1" x14ac:dyDescent="0.2">
      <c r="B45" s="190" t="str">
        <f>IF('Subcases Monthly'!B45="","",'Subcases Monthly'!B45)</f>
        <v/>
      </c>
      <c r="C45" s="461" t="str">
        <f>'Subcases Monthly'!C45:D45</f>
        <v>Other Negligence (SRS)</v>
      </c>
      <c r="D45" s="462"/>
      <c r="E45" s="98">
        <f>IF('Subcases Monthly'!E45="","",('Subcases Monthly'!E45*'Subcases Weighted Total (Auto)'!$R45))</f>
        <v>186</v>
      </c>
      <c r="F45" s="99">
        <f>IF('Subcases Monthly'!F45="","",('Subcases Monthly'!F45*'Subcases Weighted Total (Auto)'!$R45))</f>
        <v>168</v>
      </c>
      <c r="G45" s="99">
        <f>IF('Subcases Monthly'!G45="","",('Subcases Monthly'!G45*'Subcases Weighted Total (Auto)'!$R45))</f>
        <v>186</v>
      </c>
      <c r="H45" s="99">
        <f>IF('Subcases Monthly'!H45="","",('Subcases Monthly'!H45*'Subcases Weighted Total (Auto)'!$R45))</f>
        <v>162</v>
      </c>
      <c r="I45" s="99">
        <f>IF('Subcases Monthly'!I45="","",('Subcases Monthly'!I45*'Subcases Weighted Total (Auto)'!$R45))</f>
        <v>0</v>
      </c>
      <c r="J45" s="99">
        <f>IF('Subcases Monthly'!J45="","",('Subcases Monthly'!J45*'Subcases Weighted Total (Auto)'!$R45))</f>
        <v>0</v>
      </c>
      <c r="K45" s="99">
        <f>IF('Subcases Monthly'!K45="","",('Subcases Monthly'!K45*'Subcases Weighted Total (Auto)'!$R45))</f>
        <v>0</v>
      </c>
      <c r="L45" s="99">
        <f>IF('Subcases Monthly'!L45="","",('Subcases Monthly'!L45*'Subcases Weighted Total (Auto)'!$R45))</f>
        <v>0</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702</v>
      </c>
      <c r="R45" s="179">
        <f>LookupData!$A$116</f>
        <v>6</v>
      </c>
      <c r="S45" s="4"/>
    </row>
    <row r="46" spans="2:19" ht="20.100000000000001" customHeight="1" x14ac:dyDescent="0.2">
      <c r="B46" s="190" t="str">
        <f>IF('Subcases Monthly'!B46="","",'Subcases Monthly'!B46)</f>
        <v/>
      </c>
      <c r="C46" s="461" t="str">
        <f>'Subcases Monthly'!C46:D46</f>
        <v>Commercial Foreclosure (SRS)</v>
      </c>
      <c r="D46" s="462"/>
      <c r="E46" s="95">
        <f>IF('Subcases Monthly'!E46="","",('Subcases Monthly'!E46*'Subcases Weighted Total (Auto)'!$R46))</f>
        <v>21</v>
      </c>
      <c r="F46" s="96">
        <f>IF('Subcases Monthly'!F46="","",('Subcases Monthly'!F46*'Subcases Weighted Total (Auto)'!$R46))</f>
        <v>0</v>
      </c>
      <c r="G46" s="96">
        <f>IF('Subcases Monthly'!G46="","",('Subcases Monthly'!G46*'Subcases Weighted Total (Auto)'!$R46))</f>
        <v>35</v>
      </c>
      <c r="H46" s="96">
        <f>IF('Subcases Monthly'!H46="","",('Subcases Monthly'!H46*'Subcases Weighted Total (Auto)'!$R46))</f>
        <v>14</v>
      </c>
      <c r="I46" s="96">
        <f>IF('Subcases Monthly'!I46="","",('Subcases Monthly'!I46*'Subcases Weighted Total (Auto)'!$R46))</f>
        <v>0</v>
      </c>
      <c r="J46" s="96">
        <f>IF('Subcases Monthly'!J46="","",('Subcases Monthly'!J46*'Subcases Weighted Total (Auto)'!$R46))</f>
        <v>0</v>
      </c>
      <c r="K46" s="96">
        <f>IF('Subcases Monthly'!K46="","",('Subcases Monthly'!K46*'Subcases Weighted Total (Auto)'!$R46))</f>
        <v>0</v>
      </c>
      <c r="L46" s="96">
        <f>IF('Subcases Monthly'!L46="","",('Subcases Monthly'!L46*'Subcases Weighted Total (Auto)'!$R46))</f>
        <v>0</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70</v>
      </c>
      <c r="R46" s="179">
        <f>LookupData!$A$117</f>
        <v>7</v>
      </c>
      <c r="S46" s="4"/>
    </row>
    <row r="47" spans="2:19" ht="20.100000000000001" customHeight="1" x14ac:dyDescent="0.2">
      <c r="B47" s="190" t="str">
        <f>IF('Subcases Monthly'!B47="","",'Subcases Monthly'!B47)</f>
        <v/>
      </c>
      <c r="C47" s="461" t="str">
        <f>'Subcases Monthly'!C47:D47</f>
        <v>Homestead Residential Foreclosure (SRS)</v>
      </c>
      <c r="D47" s="462"/>
      <c r="E47" s="98">
        <f>IF('Subcases Monthly'!E47="","",('Subcases Monthly'!E47*'Subcases Weighted Total (Auto)'!$R47))</f>
        <v>225</v>
      </c>
      <c r="F47" s="99">
        <f>IF('Subcases Monthly'!F47="","",('Subcases Monthly'!F47*'Subcases Weighted Total (Auto)'!$R47))</f>
        <v>180</v>
      </c>
      <c r="G47" s="99">
        <f>IF('Subcases Monthly'!G47="","",('Subcases Monthly'!G47*'Subcases Weighted Total (Auto)'!$R47))</f>
        <v>189</v>
      </c>
      <c r="H47" s="99">
        <f>IF('Subcases Monthly'!H47="","",('Subcases Monthly'!H47*'Subcases Weighted Total (Auto)'!$R47))</f>
        <v>225</v>
      </c>
      <c r="I47" s="99">
        <f>IF('Subcases Monthly'!I47="","",('Subcases Monthly'!I47*'Subcases Weighted Total (Auto)'!$R47))</f>
        <v>0</v>
      </c>
      <c r="J47" s="99">
        <f>IF('Subcases Monthly'!J47="","",('Subcases Monthly'!J47*'Subcases Weighted Total (Auto)'!$R47))</f>
        <v>0</v>
      </c>
      <c r="K47" s="99">
        <f>IF('Subcases Monthly'!K47="","",('Subcases Monthly'!K47*'Subcases Weighted Total (Auto)'!$R47))</f>
        <v>0</v>
      </c>
      <c r="L47" s="99">
        <f>IF('Subcases Monthly'!L47="","",('Subcases Monthly'!L47*'Subcases Weighted Total (Auto)'!$R47))</f>
        <v>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819</v>
      </c>
      <c r="R47" s="179">
        <f>LookupData!$A$118</f>
        <v>9</v>
      </c>
      <c r="S47" s="4"/>
    </row>
    <row r="48" spans="2:19" ht="20.100000000000001" customHeight="1" x14ac:dyDescent="0.2">
      <c r="B48" s="190" t="str">
        <f>IF('Subcases Monthly'!B48="","",'Subcases Monthly'!B48)</f>
        <v/>
      </c>
      <c r="C48" s="461" t="str">
        <f>'Subcases Monthly'!C48:D48</f>
        <v>Non-Homestead Residential Foreclosure (SRS)</v>
      </c>
      <c r="D48" s="462"/>
      <c r="E48" s="95">
        <f>IF('Subcases Monthly'!E48="","",('Subcases Monthly'!E48*'Subcases Weighted Total (Auto)'!$R48))</f>
        <v>184</v>
      </c>
      <c r="F48" s="96">
        <f>IF('Subcases Monthly'!F48="","",('Subcases Monthly'!F48*'Subcases Weighted Total (Auto)'!$R48))</f>
        <v>88</v>
      </c>
      <c r="G48" s="96">
        <f>IF('Subcases Monthly'!G48="","",('Subcases Monthly'!G48*'Subcases Weighted Total (Auto)'!$R48))</f>
        <v>96</v>
      </c>
      <c r="H48" s="96">
        <f>IF('Subcases Monthly'!H48="","",('Subcases Monthly'!H48*'Subcases Weighted Total (Auto)'!$R48))</f>
        <v>96</v>
      </c>
      <c r="I48" s="96">
        <f>IF('Subcases Monthly'!I48="","",('Subcases Monthly'!I48*'Subcases Weighted Total (Auto)'!$R48))</f>
        <v>0</v>
      </c>
      <c r="J48" s="96">
        <f>IF('Subcases Monthly'!J48="","",('Subcases Monthly'!J48*'Subcases Weighted Total (Auto)'!$R48))</f>
        <v>0</v>
      </c>
      <c r="K48" s="96">
        <f>IF('Subcases Monthly'!K48="","",('Subcases Monthly'!K48*'Subcases Weighted Total (Auto)'!$R48))</f>
        <v>0</v>
      </c>
      <c r="L48" s="96">
        <f>IF('Subcases Monthly'!L48="","",('Subcases Monthly'!L48*'Subcases Weighted Total (Auto)'!$R48))</f>
        <v>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464</v>
      </c>
      <c r="R48" s="179">
        <f>LookupData!$A$119</f>
        <v>8</v>
      </c>
      <c r="S48" s="4"/>
    </row>
    <row r="49" spans="1:19" ht="20.100000000000001" customHeight="1" x14ac:dyDescent="0.2">
      <c r="B49" s="190" t="str">
        <f>IF('Subcases Monthly'!B49="","",'Subcases Monthly'!B49)</f>
        <v/>
      </c>
      <c r="C49" s="461" t="str">
        <f>'Subcases Monthly'!C49:D49</f>
        <v>Other Real Property Actions (SRS)</v>
      </c>
      <c r="D49" s="462"/>
      <c r="E49" s="98">
        <f>IF('Subcases Monthly'!E49="","",('Subcases Monthly'!E49*'Subcases Weighted Total (Auto)'!$R49))</f>
        <v>150</v>
      </c>
      <c r="F49" s="99">
        <f>IF('Subcases Monthly'!F49="","",('Subcases Monthly'!F49*'Subcases Weighted Total (Auto)'!$R49))</f>
        <v>144</v>
      </c>
      <c r="G49" s="99">
        <f>IF('Subcases Monthly'!G49="","",('Subcases Monthly'!G49*'Subcases Weighted Total (Auto)'!$R49))</f>
        <v>108</v>
      </c>
      <c r="H49" s="99">
        <f>IF('Subcases Monthly'!H49="","",('Subcases Monthly'!H49*'Subcases Weighted Total (Auto)'!$R49))</f>
        <v>108</v>
      </c>
      <c r="I49" s="99">
        <f>IF('Subcases Monthly'!I49="","",('Subcases Monthly'!I49*'Subcases Weighted Total (Auto)'!$R49))</f>
        <v>0</v>
      </c>
      <c r="J49" s="99">
        <f>IF('Subcases Monthly'!J49="","",('Subcases Monthly'!J49*'Subcases Weighted Total (Auto)'!$R49))</f>
        <v>0</v>
      </c>
      <c r="K49" s="99">
        <f>IF('Subcases Monthly'!K49="","",('Subcases Monthly'!K49*'Subcases Weighted Total (Auto)'!$R49))</f>
        <v>0</v>
      </c>
      <c r="L49" s="99">
        <f>IF('Subcases Monthly'!L49="","",('Subcases Monthly'!L49*'Subcases Weighted Total (Auto)'!$R49))</f>
        <v>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510</v>
      </c>
      <c r="R49" s="179">
        <f>LookupData!$A$120</f>
        <v>6</v>
      </c>
      <c r="S49" s="4"/>
    </row>
    <row r="50" spans="1:19" ht="20.100000000000001" customHeight="1" x14ac:dyDescent="0.2">
      <c r="B50" s="190" t="str">
        <f>IF('Subcases Monthly'!B50="","",'Subcases Monthly'!B50)</f>
        <v/>
      </c>
      <c r="C50" s="461" t="str">
        <f>'Subcases Monthly'!C50:D50</f>
        <v>Other Civil (SRS)</v>
      </c>
      <c r="D50" s="462"/>
      <c r="E50" s="95">
        <f>IF('Subcases Monthly'!E50="","",('Subcases Monthly'!E50*'Subcases Weighted Total (Auto)'!$R50))</f>
        <v>282</v>
      </c>
      <c r="F50" s="96">
        <f>IF('Subcases Monthly'!F50="","",('Subcases Monthly'!F50*'Subcases Weighted Total (Auto)'!$R50))</f>
        <v>228</v>
      </c>
      <c r="G50" s="96">
        <f>IF('Subcases Monthly'!G50="","",('Subcases Monthly'!G50*'Subcases Weighted Total (Auto)'!$R50))</f>
        <v>222</v>
      </c>
      <c r="H50" s="96">
        <f>IF('Subcases Monthly'!H50="","",('Subcases Monthly'!H50*'Subcases Weighted Total (Auto)'!$R50))</f>
        <v>228</v>
      </c>
      <c r="I50" s="96">
        <f>IF('Subcases Monthly'!I50="","",('Subcases Monthly'!I50*'Subcases Weighted Total (Auto)'!$R50))</f>
        <v>0</v>
      </c>
      <c r="J50" s="96">
        <f>IF('Subcases Monthly'!J50="","",('Subcases Monthly'!J50*'Subcases Weighted Total (Auto)'!$R50))</f>
        <v>0</v>
      </c>
      <c r="K50" s="96">
        <f>IF('Subcases Monthly'!K50="","",('Subcases Monthly'!K50*'Subcases Weighted Total (Auto)'!$R50))</f>
        <v>0</v>
      </c>
      <c r="L50" s="96">
        <f>IF('Subcases Monthly'!L50="","",('Subcases Monthly'!L50*'Subcases Weighted Total (Auto)'!$R50))</f>
        <v>0</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960</v>
      </c>
      <c r="R50" s="179">
        <f>LookupData!$A$121</f>
        <v>6</v>
      </c>
      <c r="S50" s="4"/>
    </row>
    <row r="51" spans="1:19" ht="20.100000000000001" customHeight="1" x14ac:dyDescent="0.2">
      <c r="B51" s="190"/>
      <c r="C51" s="461" t="str">
        <f>'Subcases Monthly'!C51:D51</f>
        <v>Involuntary Civil Commitment of Sexually Violent Predators (SRS)</v>
      </c>
      <c r="D51" s="462"/>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61" t="str">
        <f>'Subcases Monthly'!C52:D52</f>
        <v>Appeals (AP cases) filed in Circuit Court (SRS)</v>
      </c>
      <c r="D52" s="462"/>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8</v>
      </c>
      <c r="R52" s="179">
        <f>LookupData!$A$123</f>
        <v>4</v>
      </c>
      <c r="S52" s="4"/>
    </row>
    <row r="53" spans="1:19" ht="20.100000000000001" customHeight="1" x14ac:dyDescent="0.2">
      <c r="B53" s="190"/>
      <c r="C53" s="461" t="str">
        <f>'Subcases Monthly'!C53:D53</f>
        <v>Writs of Certiorari (SRS)</v>
      </c>
      <c r="D53" s="462"/>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61" t="str">
        <f>'Subcases Monthly'!C54:D54</f>
        <v>Medical Extensions (Petitions to Extend) (Non-SRS)</v>
      </c>
      <c r="D54" s="462"/>
      <c r="E54" s="95">
        <f>IF('Subcases Monthly'!E54="","",('Subcases Monthly'!E54*'Subcases Weighted Total (Auto)'!$R54))</f>
        <v>3</v>
      </c>
      <c r="F54" s="96">
        <f>IF('Subcases Monthly'!F54="","",('Subcases Monthly'!F54*'Subcases Weighted Total (Auto)'!$R54))</f>
        <v>9</v>
      </c>
      <c r="G54" s="96">
        <f>IF('Subcases Monthly'!G54="","",('Subcases Monthly'!G54*'Subcases Weighted Total (Auto)'!$R54))</f>
        <v>7</v>
      </c>
      <c r="H54" s="96">
        <f>IF('Subcases Monthly'!H54="","",('Subcases Monthly'!H54*'Subcases Weighted Total (Auto)'!$R54))</f>
        <v>12</v>
      </c>
      <c r="I54" s="96">
        <f>IF('Subcases Monthly'!I54="","",('Subcases Monthly'!I54*'Subcases Weighted Total (Auto)'!$R54))</f>
        <v>0</v>
      </c>
      <c r="J54" s="96">
        <f>IF('Subcases Monthly'!J54="","",('Subcases Monthly'!J54*'Subcases Weighted Total (Auto)'!$R54))</f>
        <v>0</v>
      </c>
      <c r="K54" s="96">
        <f>IF('Subcases Monthly'!K54="","",('Subcases Monthly'!K54*'Subcases Weighted Total (Auto)'!$R54))</f>
        <v>0</v>
      </c>
      <c r="L54" s="96">
        <f>IF('Subcases Monthly'!L54="","",('Subcases Monthly'!L54*'Subcases Weighted Total (Auto)'!$R54))</f>
        <v>0</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31</v>
      </c>
      <c r="R54" s="179">
        <f>LookupData!$A$125</f>
        <v>1</v>
      </c>
      <c r="S54" s="4"/>
    </row>
    <row r="55" spans="1:19" ht="20.100000000000001" customHeight="1" x14ac:dyDescent="0.2">
      <c r="B55" s="190"/>
      <c r="C55" s="461" t="str">
        <f>'Subcases Monthly'!C55:D55</f>
        <v>Transfers of Lien to Security (Non-SRS)</v>
      </c>
      <c r="D55" s="462"/>
      <c r="E55" s="98">
        <f>IF('Subcases Monthly'!E55="","",('Subcases Monthly'!E55*'Subcases Weighted Total (Auto)'!$R55))</f>
        <v>6</v>
      </c>
      <c r="F55" s="99">
        <f>IF('Subcases Monthly'!F55="","",('Subcases Monthly'!F55*'Subcases Weighted Total (Auto)'!$R55))</f>
        <v>0</v>
      </c>
      <c r="G55" s="99">
        <f>IF('Subcases Monthly'!G55="","",('Subcases Monthly'!G55*'Subcases Weighted Total (Auto)'!$R55))</f>
        <v>3</v>
      </c>
      <c r="H55" s="99">
        <f>IF('Subcases Monthly'!H55="","",('Subcases Monthly'!H55*'Subcases Weighted Total (Auto)'!$R55))</f>
        <v>0</v>
      </c>
      <c r="I55" s="99">
        <f>IF('Subcases Monthly'!I55="","",('Subcases Monthly'!I55*'Subcases Weighted Total (Auto)'!$R55))</f>
        <v>0</v>
      </c>
      <c r="J55" s="99">
        <f>IF('Subcases Monthly'!J55="","",('Subcases Monthly'!J55*'Subcases Weighted Total (Auto)'!$R55))</f>
        <v>0</v>
      </c>
      <c r="K55" s="99">
        <f>IF('Subcases Monthly'!K55="","",('Subcases Monthly'!K55*'Subcases Weighted Total (Auto)'!$R55))</f>
        <v>0</v>
      </c>
      <c r="L55" s="99">
        <f>IF('Subcases Monthly'!L55="","",('Subcases Monthly'!L55*'Subcases Weighted Total (Auto)'!$R55))</f>
        <v>0</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9</v>
      </c>
      <c r="R55" s="179">
        <f>LookupData!$A$126</f>
        <v>3</v>
      </c>
      <c r="S55" s="4"/>
    </row>
    <row r="56" spans="1:19" ht="20.100000000000001" customHeight="1" x14ac:dyDescent="0.2">
      <c r="B56" s="190"/>
      <c r="C56" s="461" t="str">
        <f>'Subcases Monthly'!C56:D56</f>
        <v>Civil Contempt for FTA for Jury Duty (Non-SRS)</v>
      </c>
      <c r="D56" s="462"/>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61" t="str">
        <f>'Subcases Monthly'!C57:D57</f>
        <v>Confirmation of Arbitration (Non-SRS)</v>
      </c>
      <c r="D57" s="462"/>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61" t="str">
        <f>'Subcases Monthly'!C58:D58</f>
        <v>Foreign Judgments (Non-SRS)</v>
      </c>
      <c r="D58" s="462"/>
      <c r="E58" s="447">
        <f>IF('Subcases Monthly'!E58="","",('Subcases Monthly'!E58*'Subcases Weighted Total (Auto)'!$R58))</f>
        <v>9</v>
      </c>
      <c r="F58" s="448">
        <f>IF('Subcases Monthly'!F58="","",('Subcases Monthly'!F58*'Subcases Weighted Total (Auto)'!$R58))</f>
        <v>9</v>
      </c>
      <c r="G58" s="448">
        <f>IF('Subcases Monthly'!G58="","",('Subcases Monthly'!G58*'Subcases Weighted Total (Auto)'!$R58))</f>
        <v>3</v>
      </c>
      <c r="H58" s="448">
        <f>IF('Subcases Monthly'!H58="","",('Subcases Monthly'!H58*'Subcases Weighted Total (Auto)'!$R58))</f>
        <v>0</v>
      </c>
      <c r="I58" s="448">
        <f>IF('Subcases Monthly'!I58="","",('Subcases Monthly'!I58*'Subcases Weighted Total (Auto)'!$R58))</f>
        <v>0</v>
      </c>
      <c r="J58" s="448">
        <f>IF('Subcases Monthly'!J58="","",('Subcases Monthly'!J58*'Subcases Weighted Total (Auto)'!$R58))</f>
        <v>0</v>
      </c>
      <c r="K58" s="448">
        <f>IF('Subcases Monthly'!K58="","",('Subcases Monthly'!K58*'Subcases Weighted Total (Auto)'!$R58))</f>
        <v>0</v>
      </c>
      <c r="L58" s="448">
        <f>IF('Subcases Monthly'!L58="","",('Subcases Monthly'!L58*'Subcases Weighted Total (Auto)'!$R58))</f>
        <v>0</v>
      </c>
      <c r="M58" s="448">
        <f>IF('Subcases Monthly'!M58="","",('Subcases Monthly'!M58*'Subcases Weighted Total (Auto)'!$R58))</f>
        <v>0</v>
      </c>
      <c r="N58" s="448">
        <f>IF('Subcases Monthly'!N58="","",('Subcases Monthly'!N58*'Subcases Weighted Total (Auto)'!$R58))</f>
        <v>0</v>
      </c>
      <c r="O58" s="448">
        <f>IF('Subcases Monthly'!O58="","",('Subcases Monthly'!O58*'Subcases Weighted Total (Auto)'!$R58))</f>
        <v>0</v>
      </c>
      <c r="P58" s="449">
        <f>IF('Subcases Monthly'!P58="","",('Subcases Monthly'!P58*'Subcases Weighted Total (Auto)'!$R58))</f>
        <v>0</v>
      </c>
      <c r="Q58" s="67">
        <f t="shared" si="13"/>
        <v>21</v>
      </c>
      <c r="R58" s="179">
        <f>LookupData!$A$129</f>
        <v>3</v>
      </c>
      <c r="S58" s="4"/>
    </row>
    <row r="59" spans="1:19" ht="20.100000000000001" customHeight="1" thickBot="1" x14ac:dyDescent="0.25">
      <c r="B59" s="191"/>
      <c r="C59" s="469" t="str">
        <f>'Subcases Monthly'!C59:D59</f>
        <v>Cases unable to be categorized</v>
      </c>
      <c r="D59" s="470"/>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1" t="str">
        <f>'Subcases Monthly'!C60:D60</f>
        <v>Total Circuit Civil =</v>
      </c>
      <c r="D60" s="472"/>
      <c r="E60" s="200">
        <f t="shared" ref="E60:P60" si="14">SUM(E39:E59)</f>
        <v>2016</v>
      </c>
      <c r="F60" s="201">
        <f t="shared" si="14"/>
        <v>1539</v>
      </c>
      <c r="G60" s="201">
        <f t="shared" si="14"/>
        <v>1858</v>
      </c>
      <c r="H60" s="201">
        <f t="shared" si="14"/>
        <v>1702</v>
      </c>
      <c r="I60" s="201">
        <f t="shared" si="14"/>
        <v>0</v>
      </c>
      <c r="J60" s="201">
        <f t="shared" si="14"/>
        <v>0</v>
      </c>
      <c r="K60" s="201">
        <f t="shared" si="14"/>
        <v>0</v>
      </c>
      <c r="L60" s="201">
        <f t="shared" si="14"/>
        <v>0</v>
      </c>
      <c r="M60" s="201">
        <f t="shared" si="14"/>
        <v>0</v>
      </c>
      <c r="N60" s="201">
        <f t="shared" si="14"/>
        <v>0</v>
      </c>
      <c r="O60" s="201">
        <f t="shared" si="14"/>
        <v>0</v>
      </c>
      <c r="P60" s="202">
        <f t="shared" si="14"/>
        <v>0</v>
      </c>
      <c r="Q60" s="73">
        <f t="shared" si="13"/>
        <v>7115</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4" t="str">
        <f>'Subcases Monthly'!C63:D63</f>
        <v>Small Claims (up to $5,000) (SRS)</v>
      </c>
      <c r="D63" s="475"/>
      <c r="E63" s="121">
        <f>IF('Subcases Monthly'!E63="","",('Subcases Monthly'!E63*'Subcases Weighted Total (Auto)'!$R63))</f>
        <v>2988</v>
      </c>
      <c r="F63" s="122">
        <f>IF('Subcases Monthly'!F63="","",('Subcases Monthly'!F63*'Subcases Weighted Total (Auto)'!$R63))</f>
        <v>3090</v>
      </c>
      <c r="G63" s="122">
        <f>IF('Subcases Monthly'!G63="","",('Subcases Monthly'!G63*'Subcases Weighted Total (Auto)'!$R63))</f>
        <v>3072</v>
      </c>
      <c r="H63" s="122">
        <f>IF('Subcases Monthly'!H63="","",('Subcases Monthly'!H63*'Subcases Weighted Total (Auto)'!$R63))</f>
        <v>2874</v>
      </c>
      <c r="I63" s="122">
        <f>IF('Subcases Monthly'!I63="","",('Subcases Monthly'!I63*'Subcases Weighted Total (Auto)'!$R63))</f>
        <v>0</v>
      </c>
      <c r="J63" s="122">
        <f>IF('Subcases Monthly'!J63="","",('Subcases Monthly'!J63*'Subcases Weighted Total (Auto)'!$R63))</f>
        <v>0</v>
      </c>
      <c r="K63" s="122">
        <f>IF('Subcases Monthly'!K63="","",('Subcases Monthly'!K63*'Subcases Weighted Total (Auto)'!$R63))</f>
        <v>0</v>
      </c>
      <c r="L63" s="122">
        <f>IF('Subcases Monthly'!L63="","",('Subcases Monthly'!L63*'Subcases Weighted Total (Auto)'!$R63))</f>
        <v>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12024</v>
      </c>
      <c r="R63" s="203">
        <f>LookupData!$A$132</f>
        <v>6</v>
      </c>
      <c r="S63" s="4"/>
    </row>
    <row r="64" spans="1:19" ht="20.100000000000001" customHeight="1" x14ac:dyDescent="0.2">
      <c r="B64" s="190" t="str">
        <f>IF('Subcases Monthly'!B64="","",'Subcases Monthly'!B64)</f>
        <v/>
      </c>
      <c r="C64" s="461" t="str">
        <f>'Subcases Monthly'!C64:D64</f>
        <v>Small Claims ($5,001 - $8,000) (SRS)</v>
      </c>
      <c r="D64" s="462"/>
      <c r="E64" s="95">
        <f>IF('Subcases Monthly'!E64="","",('Subcases Monthly'!E64*'Subcases Weighted Total (Auto)'!$R64))</f>
        <v>870</v>
      </c>
      <c r="F64" s="96">
        <f>IF('Subcases Monthly'!F64="","",('Subcases Monthly'!F64*'Subcases Weighted Total (Auto)'!$R64))</f>
        <v>960</v>
      </c>
      <c r="G64" s="96">
        <f>IF('Subcases Monthly'!G64="","",('Subcases Monthly'!G64*'Subcases Weighted Total (Auto)'!$R64))</f>
        <v>942</v>
      </c>
      <c r="H64" s="96">
        <f>IF('Subcases Monthly'!H64="","",('Subcases Monthly'!H64*'Subcases Weighted Total (Auto)'!$R64))</f>
        <v>1020</v>
      </c>
      <c r="I64" s="96">
        <f>IF('Subcases Monthly'!I64="","",('Subcases Monthly'!I64*'Subcases Weighted Total (Auto)'!$R64))</f>
        <v>0</v>
      </c>
      <c r="J64" s="96">
        <f>IF('Subcases Monthly'!J64="","",('Subcases Monthly'!J64*'Subcases Weighted Total (Auto)'!$R64))</f>
        <v>0</v>
      </c>
      <c r="K64" s="96">
        <f>IF('Subcases Monthly'!K64="","",('Subcases Monthly'!K64*'Subcases Weighted Total (Auto)'!$R64))</f>
        <v>0</v>
      </c>
      <c r="L64" s="96">
        <f>IF('Subcases Monthly'!L64="","",('Subcases Monthly'!L64*'Subcases Weighted Total (Auto)'!$R64))</f>
        <v>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3792</v>
      </c>
      <c r="R64" s="204">
        <f>LookupData!$A$133</f>
        <v>6</v>
      </c>
      <c r="S64" s="4"/>
    </row>
    <row r="65" spans="2:19" ht="20.100000000000001" customHeight="1" x14ac:dyDescent="0.2">
      <c r="B65" s="190" t="str">
        <f>IF('Subcases Monthly'!B65="","",'Subcases Monthly'!B65)</f>
        <v/>
      </c>
      <c r="C65" s="461" t="str">
        <f>'Subcases Monthly'!C65:D65</f>
        <v>Civil ($8,001 - $15,000) (SRS)</v>
      </c>
      <c r="D65" s="462"/>
      <c r="E65" s="98">
        <f>IF('Subcases Monthly'!E65="","",('Subcases Monthly'!E65*'Subcases Weighted Total (Auto)'!$R65))</f>
        <v>755</v>
      </c>
      <c r="F65" s="99">
        <f>IF('Subcases Monthly'!F65="","",('Subcases Monthly'!F65*'Subcases Weighted Total (Auto)'!$R65))</f>
        <v>710</v>
      </c>
      <c r="G65" s="99">
        <f>IF('Subcases Monthly'!G65="","",('Subcases Monthly'!G65*'Subcases Weighted Total (Auto)'!$R65))</f>
        <v>750</v>
      </c>
      <c r="H65" s="99">
        <f>IF('Subcases Monthly'!H65="","",('Subcases Monthly'!H65*'Subcases Weighted Total (Auto)'!$R65))</f>
        <v>985</v>
      </c>
      <c r="I65" s="99">
        <f>IF('Subcases Monthly'!I65="","",('Subcases Monthly'!I65*'Subcases Weighted Total (Auto)'!$R65))</f>
        <v>0</v>
      </c>
      <c r="J65" s="99">
        <f>IF('Subcases Monthly'!J65="","",('Subcases Monthly'!J65*'Subcases Weighted Total (Auto)'!$R65))</f>
        <v>0</v>
      </c>
      <c r="K65" s="99">
        <f>IF('Subcases Monthly'!K65="","",('Subcases Monthly'!K65*'Subcases Weighted Total (Auto)'!$R65))</f>
        <v>0</v>
      </c>
      <c r="L65" s="99">
        <f>IF('Subcases Monthly'!L65="","",('Subcases Monthly'!L65*'Subcases Weighted Total (Auto)'!$R65))</f>
        <v>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3200</v>
      </c>
      <c r="R65" s="204">
        <f>LookupData!$A$134</f>
        <v>5</v>
      </c>
      <c r="S65" s="4"/>
    </row>
    <row r="66" spans="2:19" ht="20.100000000000001" customHeight="1" x14ac:dyDescent="0.2">
      <c r="B66" s="190" t="str">
        <f>IF('Subcases Monthly'!B66="","",'Subcases Monthly'!B66)</f>
        <v/>
      </c>
      <c r="C66" s="461" t="str">
        <f>'Subcases Monthly'!C66:D66</f>
        <v>Civil ($15,001 - $30,000) (SRS)</v>
      </c>
      <c r="D66" s="462"/>
      <c r="E66" s="95">
        <f>IF('Subcases Monthly'!E66="","",('Subcases Monthly'!E66*'Subcases Weighted Total (Auto)'!$R66))</f>
        <v>380</v>
      </c>
      <c r="F66" s="96">
        <f>IF('Subcases Monthly'!F66="","",('Subcases Monthly'!F66*'Subcases Weighted Total (Auto)'!$R66))</f>
        <v>255</v>
      </c>
      <c r="G66" s="96">
        <f>IF('Subcases Monthly'!G66="","",('Subcases Monthly'!G66*'Subcases Weighted Total (Auto)'!$R66))</f>
        <v>305</v>
      </c>
      <c r="H66" s="96">
        <f>IF('Subcases Monthly'!H66="","",('Subcases Monthly'!H66*'Subcases Weighted Total (Auto)'!$R66))</f>
        <v>350</v>
      </c>
      <c r="I66" s="96">
        <f>IF('Subcases Monthly'!I66="","",('Subcases Monthly'!I66*'Subcases Weighted Total (Auto)'!$R66))</f>
        <v>0</v>
      </c>
      <c r="J66" s="96">
        <f>IF('Subcases Monthly'!J66="","",('Subcases Monthly'!J66*'Subcases Weighted Total (Auto)'!$R66))</f>
        <v>0</v>
      </c>
      <c r="K66" s="96">
        <f>IF('Subcases Monthly'!K66="","",('Subcases Monthly'!K66*'Subcases Weighted Total (Auto)'!$R66))</f>
        <v>0</v>
      </c>
      <c r="L66" s="96">
        <f>IF('Subcases Monthly'!L66="","",('Subcases Monthly'!L66*'Subcases Weighted Total (Auto)'!$R66))</f>
        <v>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1290</v>
      </c>
      <c r="R66" s="204">
        <f>LookupData!$A$135</f>
        <v>5</v>
      </c>
      <c r="S66" s="4"/>
    </row>
    <row r="67" spans="2:19" ht="20.100000000000001" customHeight="1" x14ac:dyDescent="0.2">
      <c r="B67" s="190"/>
      <c r="C67" s="461" t="str">
        <f>'Subcases Monthly'!C67:D67</f>
        <v>Civil ($30,001 - $50,000) (SRS)</v>
      </c>
      <c r="D67" s="462"/>
      <c r="E67" s="174">
        <f>IF('Subcases Monthly'!E67="","",('Subcases Monthly'!E67*'Subcases Weighted Total (Auto)'!$R67))</f>
        <v>175</v>
      </c>
      <c r="F67" s="175">
        <f>IF('Subcases Monthly'!F67="","",('Subcases Monthly'!F67*'Subcases Weighted Total (Auto)'!$R67))</f>
        <v>175</v>
      </c>
      <c r="G67" s="175">
        <f>IF('Subcases Monthly'!G67="","",('Subcases Monthly'!G67*'Subcases Weighted Total (Auto)'!$R67))</f>
        <v>225</v>
      </c>
      <c r="H67" s="175">
        <f>IF('Subcases Monthly'!H67="","",('Subcases Monthly'!H67*'Subcases Weighted Total (Auto)'!$R67))</f>
        <v>185</v>
      </c>
      <c r="I67" s="175">
        <f>IF('Subcases Monthly'!I67="","",('Subcases Monthly'!I67*'Subcases Weighted Total (Auto)'!$R67))</f>
        <v>0</v>
      </c>
      <c r="J67" s="175">
        <f>IF('Subcases Monthly'!J67="","",('Subcases Monthly'!J67*'Subcases Weighted Total (Auto)'!$R67))</f>
        <v>0</v>
      </c>
      <c r="K67" s="175">
        <f>IF('Subcases Monthly'!K67="","",('Subcases Monthly'!K67*'Subcases Weighted Total (Auto)'!$R67))</f>
        <v>0</v>
      </c>
      <c r="L67" s="175">
        <f>IF('Subcases Monthly'!L67="","",('Subcases Monthly'!L67*'Subcases Weighted Total (Auto)'!$R67))</f>
        <v>0</v>
      </c>
      <c r="M67" s="175">
        <f>IF('Subcases Monthly'!M67="","",('Subcases Monthly'!M67*'Subcases Weighted Total (Auto)'!$R67))</f>
        <v>0</v>
      </c>
      <c r="N67" s="175">
        <f>IF('Subcases Monthly'!N67="","",('Subcases Monthly'!N67*'Subcases Weighted Total (Auto)'!$R67))</f>
        <v>0</v>
      </c>
      <c r="O67" s="175">
        <f>IF('Subcases Monthly'!O67="","",('Subcases Monthly'!O67*'Subcases Weighted Total (Auto)'!$R67))</f>
        <v>0</v>
      </c>
      <c r="P67" s="176">
        <f>IF('Subcases Monthly'!P67="","",('Subcases Monthly'!P67*'Subcases Weighted Total (Auto)'!$R67))</f>
        <v>0</v>
      </c>
      <c r="Q67" s="65">
        <f t="shared" ref="Q67" si="17">SUM(E67:P67)</f>
        <v>760</v>
      </c>
      <c r="R67" s="204">
        <f>LookupData!$A$136</f>
        <v>5</v>
      </c>
      <c r="S67" s="4"/>
    </row>
    <row r="68" spans="2:19" ht="20.100000000000001" customHeight="1" x14ac:dyDescent="0.2">
      <c r="B68" s="190" t="str">
        <f>IF('Subcases Monthly'!B68="","",'Subcases Monthly'!B68)</f>
        <v/>
      </c>
      <c r="C68" s="461" t="str">
        <f>'Subcases Monthly'!C68:D68</f>
        <v>Replevins (SRS)</v>
      </c>
      <c r="D68" s="462"/>
      <c r="E68" s="95">
        <f>IF('Subcases Monthly'!E68="","",('Subcases Monthly'!E68*'Subcases Weighted Total (Auto)'!$R68))</f>
        <v>20</v>
      </c>
      <c r="F68" s="96">
        <f>IF('Subcases Monthly'!F68="","",('Subcases Monthly'!F68*'Subcases Weighted Total (Auto)'!$R68))</f>
        <v>12</v>
      </c>
      <c r="G68" s="96">
        <f>IF('Subcases Monthly'!G68="","",('Subcases Monthly'!G68*'Subcases Weighted Total (Auto)'!$R68))</f>
        <v>16</v>
      </c>
      <c r="H68" s="96">
        <f>IF('Subcases Monthly'!H68="","",('Subcases Monthly'!H68*'Subcases Weighted Total (Auto)'!$R68))</f>
        <v>60</v>
      </c>
      <c r="I68" s="96">
        <f>IF('Subcases Monthly'!I68="","",('Subcases Monthly'!I68*'Subcases Weighted Total (Auto)'!$R68))</f>
        <v>0</v>
      </c>
      <c r="J68" s="96">
        <f>IF('Subcases Monthly'!J68="","",('Subcases Monthly'!J68*'Subcases Weighted Total (Auto)'!$R68))</f>
        <v>0</v>
      </c>
      <c r="K68" s="96">
        <f>IF('Subcases Monthly'!K68="","",('Subcases Monthly'!K68*'Subcases Weighted Total (Auto)'!$R68))</f>
        <v>0</v>
      </c>
      <c r="L68" s="96">
        <f>IF('Subcases Monthly'!L68="","",('Subcases Monthly'!L68*'Subcases Weighted Total (Auto)'!$R68))</f>
        <v>0</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108</v>
      </c>
      <c r="R68" s="204">
        <f>LookupData!$A$137</f>
        <v>4</v>
      </c>
      <c r="S68" s="4"/>
    </row>
    <row r="69" spans="2:19" ht="20.100000000000001" customHeight="1" x14ac:dyDescent="0.2">
      <c r="B69" s="190" t="str">
        <f>IF('Subcases Monthly'!B69="","",'Subcases Monthly'!B69)</f>
        <v/>
      </c>
      <c r="C69" s="461" t="str">
        <f>'Subcases Monthly'!C69:D69</f>
        <v>Evictions (SRS)</v>
      </c>
      <c r="D69" s="462"/>
      <c r="E69" s="98">
        <f>IF('Subcases Monthly'!E69="","",('Subcases Monthly'!E69*'Subcases Weighted Total (Auto)'!$R69))</f>
        <v>1614</v>
      </c>
      <c r="F69" s="99">
        <f>IF('Subcases Monthly'!F69="","",('Subcases Monthly'!F69*'Subcases Weighted Total (Auto)'!$R69))</f>
        <v>1662</v>
      </c>
      <c r="G69" s="99">
        <f>IF('Subcases Monthly'!G69="","",('Subcases Monthly'!G69*'Subcases Weighted Total (Auto)'!$R69))</f>
        <v>1458</v>
      </c>
      <c r="H69" s="99">
        <f>IF('Subcases Monthly'!H69="","",('Subcases Monthly'!H69*'Subcases Weighted Total (Auto)'!$R69))</f>
        <v>2058</v>
      </c>
      <c r="I69" s="99">
        <f>IF('Subcases Monthly'!I69="","",('Subcases Monthly'!I69*'Subcases Weighted Total (Auto)'!$R69))</f>
        <v>0</v>
      </c>
      <c r="J69" s="99">
        <f>IF('Subcases Monthly'!J69="","",('Subcases Monthly'!J69*'Subcases Weighted Total (Auto)'!$R69))</f>
        <v>0</v>
      </c>
      <c r="K69" s="99">
        <f>IF('Subcases Monthly'!K69="","",('Subcases Monthly'!K69*'Subcases Weighted Total (Auto)'!$R69))</f>
        <v>0</v>
      </c>
      <c r="L69" s="99">
        <f>IF('Subcases Monthly'!L69="","",('Subcases Monthly'!L69*'Subcases Weighted Total (Auto)'!$R69))</f>
        <v>0</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6792</v>
      </c>
      <c r="R69" s="204">
        <f>LookupData!$A$138</f>
        <v>6</v>
      </c>
      <c r="S69" s="4"/>
    </row>
    <row r="70" spans="2:19" ht="20.100000000000001" customHeight="1" x14ac:dyDescent="0.2">
      <c r="B70" s="190" t="str">
        <f>IF('Subcases Monthly'!B70="","",'Subcases Monthly'!B70)</f>
        <v/>
      </c>
      <c r="C70" s="461" t="str">
        <f>'Subcases Monthly'!C70:D70</f>
        <v>Other County Civil (Non-Monetary) (SRS)</v>
      </c>
      <c r="D70" s="462"/>
      <c r="E70" s="95">
        <f>IF('Subcases Monthly'!E70="","",('Subcases Monthly'!E70*'Subcases Weighted Total (Auto)'!$R70))</f>
        <v>12</v>
      </c>
      <c r="F70" s="96">
        <f>IF('Subcases Monthly'!F70="","",('Subcases Monthly'!F70*'Subcases Weighted Total (Auto)'!$R70))</f>
        <v>20</v>
      </c>
      <c r="G70" s="96">
        <f>IF('Subcases Monthly'!G70="","",('Subcases Monthly'!G70*'Subcases Weighted Total (Auto)'!$R70))</f>
        <v>4</v>
      </c>
      <c r="H70" s="96">
        <f>IF('Subcases Monthly'!H70="","",('Subcases Monthly'!H70*'Subcases Weighted Total (Auto)'!$R70))</f>
        <v>44</v>
      </c>
      <c r="I70" s="96">
        <f>IF('Subcases Monthly'!I70="","",('Subcases Monthly'!I70*'Subcases Weighted Total (Auto)'!$R70))</f>
        <v>0</v>
      </c>
      <c r="J70" s="96">
        <f>IF('Subcases Monthly'!J70="","",('Subcases Monthly'!J70*'Subcases Weighted Total (Auto)'!$R70))</f>
        <v>0</v>
      </c>
      <c r="K70" s="96">
        <f>IF('Subcases Monthly'!K70="","",('Subcases Monthly'!K70*'Subcases Weighted Total (Auto)'!$R70))</f>
        <v>0</v>
      </c>
      <c r="L70" s="96">
        <f>IF('Subcases Monthly'!L70="","",('Subcases Monthly'!L70*'Subcases Weighted Total (Auto)'!$R70))</f>
        <v>0</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80</v>
      </c>
      <c r="R70" s="204">
        <f>LookupData!$A$139</f>
        <v>4</v>
      </c>
      <c r="S70" s="4"/>
    </row>
    <row r="71" spans="2:19" ht="20.100000000000001" customHeight="1" x14ac:dyDescent="0.2">
      <c r="B71" s="190" t="str">
        <f>IF('Subcases Monthly'!B71="","",'Subcases Monthly'!B71)</f>
        <v/>
      </c>
      <c r="C71" s="461" t="str">
        <f>'Subcases Monthly'!C71:D71</f>
        <v>Foreign Judgments (Non-SRS)</v>
      </c>
      <c r="D71" s="462"/>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3</v>
      </c>
      <c r="I71" s="99">
        <f>IF('Subcases Monthly'!I71="","",('Subcases Monthly'!I71*'Subcases Weighted Total (Auto)'!$R71))</f>
        <v>0</v>
      </c>
      <c r="J71" s="99">
        <f>IF('Subcases Monthly'!J71="","",('Subcases Monthly'!J71*'Subcases Weighted Total (Auto)'!$R71))</f>
        <v>0</v>
      </c>
      <c r="K71" s="99">
        <f>IF('Subcases Monthly'!K71="","",('Subcases Monthly'!K71*'Subcases Weighted Total (Auto)'!$R71))</f>
        <v>0</v>
      </c>
      <c r="L71" s="99">
        <f>IF('Subcases Monthly'!L71="","",('Subcases Monthly'!L71*'Subcases Weighted Total (Auto)'!$R71))</f>
        <v>0</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6</v>
      </c>
      <c r="R71" s="204">
        <f>LookupData!$A$140</f>
        <v>3</v>
      </c>
      <c r="S71" s="4"/>
    </row>
    <row r="72" spans="2:19" ht="20.100000000000001" customHeight="1" x14ac:dyDescent="0.2">
      <c r="B72" s="190" t="str">
        <f>IF('Subcases Monthly'!B72="","",'Subcases Monthly'!B72)</f>
        <v/>
      </c>
      <c r="C72" s="461" t="str">
        <f>'Subcases Monthly'!C72:D72</f>
        <v>Applications for Voluntary Binding Arbitration (Non-SRS)</v>
      </c>
      <c r="D72" s="462"/>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69" t="str">
        <f>'Subcases Monthly'!C73:D73</f>
        <v>Cases unable to be categorized</v>
      </c>
      <c r="D73" s="470"/>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1" t="str">
        <f>'Subcases Monthly'!C74:D74</f>
        <v>Total County Civil =</v>
      </c>
      <c r="D74" s="472"/>
      <c r="E74" s="200">
        <f t="shared" ref="E74:P74" si="18">SUM(E63:E73)</f>
        <v>6817</v>
      </c>
      <c r="F74" s="201">
        <f t="shared" si="18"/>
        <v>6884</v>
      </c>
      <c r="G74" s="201">
        <f t="shared" si="18"/>
        <v>6772</v>
      </c>
      <c r="H74" s="201">
        <f t="shared" si="18"/>
        <v>7579</v>
      </c>
      <c r="I74" s="201">
        <f t="shared" si="18"/>
        <v>0</v>
      </c>
      <c r="J74" s="201">
        <f t="shared" si="18"/>
        <v>0</v>
      </c>
      <c r="K74" s="201">
        <f t="shared" si="18"/>
        <v>0</v>
      </c>
      <c r="L74" s="201">
        <f t="shared" si="18"/>
        <v>0</v>
      </c>
      <c r="M74" s="201">
        <f t="shared" si="18"/>
        <v>0</v>
      </c>
      <c r="N74" s="201">
        <f t="shared" si="18"/>
        <v>0</v>
      </c>
      <c r="O74" s="201">
        <f t="shared" si="18"/>
        <v>0</v>
      </c>
      <c r="P74" s="202">
        <f t="shared" si="18"/>
        <v>0</v>
      </c>
      <c r="Q74" s="110">
        <f t="shared" si="16"/>
        <v>28052</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4" t="str">
        <f>'Subcases Monthly'!C77:D77</f>
        <v>Probate (SRS)</v>
      </c>
      <c r="D77" s="475"/>
      <c r="E77" s="92">
        <f>IF('Subcases Monthly'!E77="","",('Subcases Monthly'!E77*'Subcases Weighted Total (Auto)'!$R77))</f>
        <v>1267</v>
      </c>
      <c r="F77" s="93">
        <f>IF('Subcases Monthly'!F77="","",('Subcases Monthly'!F77*'Subcases Weighted Total (Auto)'!$R77))</f>
        <v>1232</v>
      </c>
      <c r="G77" s="93">
        <f>IF('Subcases Monthly'!G77="","",('Subcases Monthly'!G77*'Subcases Weighted Total (Auto)'!$R77))</f>
        <v>1204</v>
      </c>
      <c r="H77" s="93">
        <f>IF('Subcases Monthly'!H77="","",('Subcases Monthly'!H77*'Subcases Weighted Total (Auto)'!$R77))</f>
        <v>1358</v>
      </c>
      <c r="I77" s="93">
        <f>IF('Subcases Monthly'!I77="","",('Subcases Monthly'!I77*'Subcases Weighted Total (Auto)'!$R77))</f>
        <v>0</v>
      </c>
      <c r="J77" s="93">
        <f>IF('Subcases Monthly'!J77="","",('Subcases Monthly'!J77*'Subcases Weighted Total (Auto)'!$R77))</f>
        <v>0</v>
      </c>
      <c r="K77" s="93">
        <f>IF('Subcases Monthly'!K77="","",('Subcases Monthly'!K77*'Subcases Weighted Total (Auto)'!$R77))</f>
        <v>0</v>
      </c>
      <c r="L77" s="93">
        <f>IF('Subcases Monthly'!L77="","",('Subcases Monthly'!L77*'Subcases Weighted Total (Auto)'!$R77))</f>
        <v>0</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5061</v>
      </c>
      <c r="R77" s="203">
        <f>LookupData!$A$144</f>
        <v>7</v>
      </c>
      <c r="S77" s="4"/>
    </row>
    <row r="78" spans="2:19" ht="20.100000000000001" customHeight="1" x14ac:dyDescent="0.2">
      <c r="B78" s="190" t="str">
        <f>IF('Subcases Monthly'!B78="","",'Subcases Monthly'!B78)</f>
        <v/>
      </c>
      <c r="C78" s="461" t="str">
        <f>'Subcases Monthly'!C78:D78</f>
        <v>Guardianship (SRS)</v>
      </c>
      <c r="D78" s="462"/>
      <c r="E78" s="95">
        <f>IF('Subcases Monthly'!E78="","",('Subcases Monthly'!E78*'Subcases Weighted Total (Auto)'!$R78))</f>
        <v>420</v>
      </c>
      <c r="F78" s="96">
        <f>IF('Subcases Monthly'!F78="","",('Subcases Monthly'!F78*'Subcases Weighted Total (Auto)'!$R78))</f>
        <v>200</v>
      </c>
      <c r="G78" s="96">
        <f>IF('Subcases Monthly'!G78="","",('Subcases Monthly'!G78*'Subcases Weighted Total (Auto)'!$R78))</f>
        <v>180</v>
      </c>
      <c r="H78" s="96">
        <f>IF('Subcases Monthly'!H78="","",('Subcases Monthly'!H78*'Subcases Weighted Total (Auto)'!$R78))</f>
        <v>330</v>
      </c>
      <c r="I78" s="96">
        <f>IF('Subcases Monthly'!I78="","",('Subcases Monthly'!I78*'Subcases Weighted Total (Auto)'!$R78))</f>
        <v>0</v>
      </c>
      <c r="J78" s="96">
        <f>IF('Subcases Monthly'!J78="","",('Subcases Monthly'!J78*'Subcases Weighted Total (Auto)'!$R78))</f>
        <v>0</v>
      </c>
      <c r="K78" s="96">
        <f>IF('Subcases Monthly'!K78="","",('Subcases Monthly'!K78*'Subcases Weighted Total (Auto)'!$R78))</f>
        <v>0</v>
      </c>
      <c r="L78" s="96">
        <f>IF('Subcases Monthly'!L78="","",('Subcases Monthly'!L78*'Subcases Weighted Total (Auto)'!$R78))</f>
        <v>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1130</v>
      </c>
      <c r="R78" s="204">
        <f>LookupData!$A$145</f>
        <v>10</v>
      </c>
      <c r="S78" s="4"/>
    </row>
    <row r="79" spans="2:19" ht="20.100000000000001" customHeight="1" x14ac:dyDescent="0.2">
      <c r="B79" s="190" t="str">
        <f>IF('Subcases Monthly'!B79="","",'Subcases Monthly'!B79)</f>
        <v/>
      </c>
      <c r="C79" s="461" t="str">
        <f>'Subcases Monthly'!C79:D79</f>
        <v>Probate Trust (SRS)</v>
      </c>
      <c r="D79" s="462"/>
      <c r="E79" s="98">
        <f>IF('Subcases Monthly'!E79="","",('Subcases Monthly'!E79*'Subcases Weighted Total (Auto)'!$R79))</f>
        <v>7</v>
      </c>
      <c r="F79" s="99">
        <f>IF('Subcases Monthly'!F79="","",('Subcases Monthly'!F79*'Subcases Weighted Total (Auto)'!$R79))</f>
        <v>7</v>
      </c>
      <c r="G79" s="99">
        <f>IF('Subcases Monthly'!G79="","",('Subcases Monthly'!G79*'Subcases Weighted Total (Auto)'!$R79))</f>
        <v>7</v>
      </c>
      <c r="H79" s="99">
        <f>IF('Subcases Monthly'!H79="","",('Subcases Monthly'!H79*'Subcases Weighted Total (Auto)'!$R79))</f>
        <v>0</v>
      </c>
      <c r="I79" s="99">
        <f>IF('Subcases Monthly'!I79="","",('Subcases Monthly'!I79*'Subcases Weighted Total (Auto)'!$R79))</f>
        <v>0</v>
      </c>
      <c r="J79" s="99">
        <f>IF('Subcases Monthly'!J79="","",('Subcases Monthly'!J79*'Subcases Weighted Total (Auto)'!$R79))</f>
        <v>0</v>
      </c>
      <c r="K79" s="99">
        <f>IF('Subcases Monthly'!K79="","",('Subcases Monthly'!K79*'Subcases Weighted Total (Auto)'!$R79))</f>
        <v>0</v>
      </c>
      <c r="L79" s="99">
        <f>IF('Subcases Monthly'!L79="","",('Subcases Monthly'!L79*'Subcases Weighted Total (Auto)'!$R79))</f>
        <v>0</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21</v>
      </c>
      <c r="R79" s="204">
        <f>LookupData!$A$146</f>
        <v>7</v>
      </c>
      <c r="S79" s="4"/>
    </row>
    <row r="80" spans="2:19" ht="20.100000000000001" customHeight="1" x14ac:dyDescent="0.2">
      <c r="B80" s="190" t="str">
        <f>IF('Subcases Monthly'!B80="","",'Subcases Monthly'!B80)</f>
        <v/>
      </c>
      <c r="C80" s="461" t="str">
        <f>'Subcases Monthly'!C80:D80</f>
        <v>Baker Act (SRS)</v>
      </c>
      <c r="D80" s="462"/>
      <c r="E80" s="95">
        <f>IF('Subcases Monthly'!E80="","",('Subcases Monthly'!E80*'Subcases Weighted Total (Auto)'!$R80))</f>
        <v>252</v>
      </c>
      <c r="F80" s="96">
        <f>IF('Subcases Monthly'!F80="","",('Subcases Monthly'!F80*'Subcases Weighted Total (Auto)'!$R80))</f>
        <v>270</v>
      </c>
      <c r="G80" s="96">
        <f>IF('Subcases Monthly'!G80="","",('Subcases Monthly'!G80*'Subcases Weighted Total (Auto)'!$R80))</f>
        <v>330</v>
      </c>
      <c r="H80" s="96">
        <f>IF('Subcases Monthly'!H80="","",('Subcases Monthly'!H80*'Subcases Weighted Total (Auto)'!$R80))</f>
        <v>384</v>
      </c>
      <c r="I80" s="96">
        <f>IF('Subcases Monthly'!I80="","",('Subcases Monthly'!I80*'Subcases Weighted Total (Auto)'!$R80))</f>
        <v>0</v>
      </c>
      <c r="J80" s="96">
        <f>IF('Subcases Monthly'!J80="","",('Subcases Monthly'!J80*'Subcases Weighted Total (Auto)'!$R80))</f>
        <v>0</v>
      </c>
      <c r="K80" s="96">
        <f>IF('Subcases Monthly'!K80="","",('Subcases Monthly'!K80*'Subcases Weighted Total (Auto)'!$R80))</f>
        <v>0</v>
      </c>
      <c r="L80" s="96">
        <f>IF('Subcases Monthly'!L80="","",('Subcases Monthly'!L80*'Subcases Weighted Total (Auto)'!$R80))</f>
        <v>0</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1236</v>
      </c>
      <c r="R80" s="204">
        <f>LookupData!$A$147</f>
        <v>6</v>
      </c>
      <c r="S80" s="4"/>
    </row>
    <row r="81" spans="1:19" ht="20.100000000000001" customHeight="1" x14ac:dyDescent="0.2">
      <c r="B81" s="190" t="str">
        <f>IF('Subcases Monthly'!B81="","",'Subcases Monthly'!B81)</f>
        <v/>
      </c>
      <c r="C81" s="461" t="str">
        <f>'Subcases Monthly'!C81:D81</f>
        <v>Substance Abuse Act (SRS)</v>
      </c>
      <c r="D81" s="462"/>
      <c r="E81" s="98">
        <f>IF('Subcases Monthly'!E81="","",('Subcases Monthly'!E81*'Subcases Weighted Total (Auto)'!$R81))</f>
        <v>96</v>
      </c>
      <c r="F81" s="99">
        <f>IF('Subcases Monthly'!F81="","",('Subcases Monthly'!F81*'Subcases Weighted Total (Auto)'!$R81))</f>
        <v>120</v>
      </c>
      <c r="G81" s="99">
        <f>IF('Subcases Monthly'!G81="","",('Subcases Monthly'!G81*'Subcases Weighted Total (Auto)'!$R81))</f>
        <v>96</v>
      </c>
      <c r="H81" s="99">
        <f>IF('Subcases Monthly'!H81="","",('Subcases Monthly'!H81*'Subcases Weighted Total (Auto)'!$R81))</f>
        <v>72</v>
      </c>
      <c r="I81" s="99">
        <f>IF('Subcases Monthly'!I81="","",('Subcases Monthly'!I81*'Subcases Weighted Total (Auto)'!$R81))</f>
        <v>0</v>
      </c>
      <c r="J81" s="99">
        <f>IF('Subcases Monthly'!J81="","",('Subcases Monthly'!J81*'Subcases Weighted Total (Auto)'!$R81))</f>
        <v>0</v>
      </c>
      <c r="K81" s="99">
        <f>IF('Subcases Monthly'!K81="","",('Subcases Monthly'!K81*'Subcases Weighted Total (Auto)'!$R81))</f>
        <v>0</v>
      </c>
      <c r="L81" s="99">
        <f>IF('Subcases Monthly'!L81="","",('Subcases Monthly'!L81*'Subcases Weighted Total (Auto)'!$R81))</f>
        <v>0</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384</v>
      </c>
      <c r="R81" s="204">
        <f>LookupData!$A$148</f>
        <v>6</v>
      </c>
      <c r="S81" s="4"/>
    </row>
    <row r="82" spans="1:19" ht="20.100000000000001" customHeight="1" x14ac:dyDescent="0.2">
      <c r="B82" s="190" t="str">
        <f>IF('Subcases Monthly'!B82="","",'Subcases Monthly'!B82)</f>
        <v/>
      </c>
      <c r="C82" s="461" t="str">
        <f>'Subcases Monthly'!C82:D82</f>
        <v>Other Social (SRS)</v>
      </c>
      <c r="D82" s="462"/>
      <c r="E82" s="95">
        <f>IF('Subcases Monthly'!E82="","",('Subcases Monthly'!E82*'Subcases Weighted Total (Auto)'!$R82))</f>
        <v>88</v>
      </c>
      <c r="F82" s="96">
        <f>IF('Subcases Monthly'!F82="","",('Subcases Monthly'!F82*'Subcases Weighted Total (Auto)'!$R82))</f>
        <v>36</v>
      </c>
      <c r="G82" s="96">
        <f>IF('Subcases Monthly'!G82="","",('Subcases Monthly'!G82*'Subcases Weighted Total (Auto)'!$R82))</f>
        <v>44</v>
      </c>
      <c r="H82" s="96">
        <f>IF('Subcases Monthly'!H82="","",('Subcases Monthly'!H82*'Subcases Weighted Total (Auto)'!$R82))</f>
        <v>48</v>
      </c>
      <c r="I82" s="96">
        <f>IF('Subcases Monthly'!I82="","",('Subcases Monthly'!I82*'Subcases Weighted Total (Auto)'!$R82))</f>
        <v>0</v>
      </c>
      <c r="J82" s="96">
        <f>IF('Subcases Monthly'!J82="","",('Subcases Monthly'!J82*'Subcases Weighted Total (Auto)'!$R82))</f>
        <v>0</v>
      </c>
      <c r="K82" s="96">
        <f>IF('Subcases Monthly'!K82="","",('Subcases Monthly'!K82*'Subcases Weighted Total (Auto)'!$R82))</f>
        <v>0</v>
      </c>
      <c r="L82" s="96">
        <f>IF('Subcases Monthly'!L82="","",('Subcases Monthly'!L82*'Subcases Weighted Total (Auto)'!$R82))</f>
        <v>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216</v>
      </c>
      <c r="R82" s="204">
        <f>LookupData!$A$149</f>
        <v>4</v>
      </c>
      <c r="S82" s="4"/>
    </row>
    <row r="83" spans="1:19" ht="20.100000000000001" customHeight="1" x14ac:dyDescent="0.2">
      <c r="B83" s="190"/>
      <c r="C83" s="461" t="str">
        <f>'Subcases Monthly'!C83:D83</f>
        <v>Involuntary Civil Commitment of Sexually Violent Predators (SRS)</v>
      </c>
      <c r="D83" s="462"/>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61" t="str">
        <f>'Subcases Monthly'!C84:D84</f>
        <v>Risk Protection Orders (SRS)</v>
      </c>
      <c r="D84" s="462"/>
      <c r="E84" s="95">
        <f>IF('Subcases Monthly'!E84="","",('Subcases Monthly'!E84*'Subcases Weighted Total (Auto)'!$R84))</f>
        <v>18</v>
      </c>
      <c r="F84" s="96">
        <f>IF('Subcases Monthly'!F84="","",('Subcases Monthly'!F84*'Subcases Weighted Total (Auto)'!$R84))</f>
        <v>54</v>
      </c>
      <c r="G84" s="96">
        <f>IF('Subcases Monthly'!G84="","",('Subcases Monthly'!G84*'Subcases Weighted Total (Auto)'!$R84))</f>
        <v>12</v>
      </c>
      <c r="H84" s="96">
        <f>IF('Subcases Monthly'!H84="","",('Subcases Monthly'!H84*'Subcases Weighted Total (Auto)'!$R84))</f>
        <v>36</v>
      </c>
      <c r="I84" s="96">
        <f>IF('Subcases Monthly'!I84="","",('Subcases Monthly'!I84*'Subcases Weighted Total (Auto)'!$R84))</f>
        <v>0</v>
      </c>
      <c r="J84" s="96">
        <f>IF('Subcases Monthly'!J84="","",('Subcases Monthly'!J84*'Subcases Weighted Total (Auto)'!$R84))</f>
        <v>0</v>
      </c>
      <c r="K84" s="96">
        <f>IF('Subcases Monthly'!K84="","",('Subcases Monthly'!K84*'Subcases Weighted Total (Auto)'!$R84))</f>
        <v>0</v>
      </c>
      <c r="L84" s="96">
        <f>IF('Subcases Monthly'!L84="","",('Subcases Monthly'!L84*'Subcases Weighted Total (Auto)'!$R84))</f>
        <v>0</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120</v>
      </c>
      <c r="R84" s="204">
        <f>LookupData!$A$151</f>
        <v>6</v>
      </c>
      <c r="S84" s="4"/>
    </row>
    <row r="85" spans="1:19" ht="20.100000000000001" customHeight="1" x14ac:dyDescent="0.2">
      <c r="B85" s="190" t="str">
        <f>IF('Subcases Monthly'!B85="","",'Subcases Monthly'!B85)</f>
        <v/>
      </c>
      <c r="C85" s="461" t="str">
        <f>'Subcases Monthly'!C85:D85</f>
        <v>Wills on Deposit (Non-SRS)</v>
      </c>
      <c r="D85" s="462"/>
      <c r="E85" s="98">
        <f>IF('Subcases Monthly'!E85="","",('Subcases Monthly'!E85*'Subcases Weighted Total (Auto)'!$R85))</f>
        <v>133</v>
      </c>
      <c r="F85" s="99">
        <f>IF('Subcases Monthly'!F85="","",('Subcases Monthly'!F85*'Subcases Weighted Total (Auto)'!$R85))</f>
        <v>136</v>
      </c>
      <c r="G85" s="99">
        <f>IF('Subcases Monthly'!G85="","",('Subcases Monthly'!G85*'Subcases Weighted Total (Auto)'!$R85))</f>
        <v>106</v>
      </c>
      <c r="H85" s="99">
        <f>IF('Subcases Monthly'!H85="","",('Subcases Monthly'!H85*'Subcases Weighted Total (Auto)'!$R85))</f>
        <v>150</v>
      </c>
      <c r="I85" s="99">
        <f>IF('Subcases Monthly'!I85="","",('Subcases Monthly'!I85*'Subcases Weighted Total (Auto)'!$R85))</f>
        <v>0</v>
      </c>
      <c r="J85" s="99">
        <f>IF('Subcases Monthly'!J85="","",('Subcases Monthly'!J85*'Subcases Weighted Total (Auto)'!$R85))</f>
        <v>0</v>
      </c>
      <c r="K85" s="99">
        <f>IF('Subcases Monthly'!K85="","",('Subcases Monthly'!K85*'Subcases Weighted Total (Auto)'!$R85))</f>
        <v>0</v>
      </c>
      <c r="L85" s="99">
        <f>IF('Subcases Monthly'!L85="","",('Subcases Monthly'!L85*'Subcases Weighted Total (Auto)'!$R85))</f>
        <v>0</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525</v>
      </c>
      <c r="R85" s="204">
        <f>LookupData!$A$152</f>
        <v>1</v>
      </c>
      <c r="S85" s="4"/>
    </row>
    <row r="86" spans="1:19" ht="20.100000000000001" customHeight="1" x14ac:dyDescent="0.2">
      <c r="B86" s="190" t="str">
        <f>IF('Subcases Monthly'!B86="","",'Subcases Monthly'!B86)</f>
        <v/>
      </c>
      <c r="C86" s="461" t="str">
        <f>'Subcases Monthly'!C86:D86</f>
        <v>Pre-Need Guardianship (Non-SRS)</v>
      </c>
      <c r="D86" s="462"/>
      <c r="E86" s="95">
        <f>IF('Subcases Monthly'!E86="","",('Subcases Monthly'!E86*'Subcases Weighted Total (Auto)'!$R86))</f>
        <v>124</v>
      </c>
      <c r="F86" s="96">
        <f>IF('Subcases Monthly'!F86="","",('Subcases Monthly'!F86*'Subcases Weighted Total (Auto)'!$R86))</f>
        <v>128</v>
      </c>
      <c r="G86" s="96">
        <f>IF('Subcases Monthly'!G86="","",('Subcases Monthly'!G86*'Subcases Weighted Total (Auto)'!$R86))</f>
        <v>145</v>
      </c>
      <c r="H86" s="96">
        <f>IF('Subcases Monthly'!H86="","",('Subcases Monthly'!H86*'Subcases Weighted Total (Auto)'!$R86))</f>
        <v>120</v>
      </c>
      <c r="I86" s="96">
        <f>IF('Subcases Monthly'!I86="","",('Subcases Monthly'!I86*'Subcases Weighted Total (Auto)'!$R86))</f>
        <v>0</v>
      </c>
      <c r="J86" s="96">
        <f>IF('Subcases Monthly'!J86="","",('Subcases Monthly'!J86*'Subcases Weighted Total (Auto)'!$R86))</f>
        <v>0</v>
      </c>
      <c r="K86" s="96">
        <f>IF('Subcases Monthly'!K86="","",('Subcases Monthly'!K86*'Subcases Weighted Total (Auto)'!$R86))</f>
        <v>0</v>
      </c>
      <c r="L86" s="96">
        <f>IF('Subcases Monthly'!L86="","",('Subcases Monthly'!L86*'Subcases Weighted Total (Auto)'!$R86))</f>
        <v>0</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517</v>
      </c>
      <c r="R86" s="204">
        <f>LookupData!$A$153</f>
        <v>1</v>
      </c>
      <c r="S86" s="4"/>
    </row>
    <row r="87" spans="1:19" ht="20.100000000000001" customHeight="1" x14ac:dyDescent="0.2">
      <c r="B87" s="190" t="str">
        <f>IF('Subcases Monthly'!B87="","",'Subcases Monthly'!B87)</f>
        <v/>
      </c>
      <c r="C87" s="461" t="str">
        <f>'Subcases Monthly'!C87:D87</f>
        <v>Notice of Trust (Non-SRS)</v>
      </c>
      <c r="D87" s="462"/>
      <c r="E87" s="98">
        <f>IF('Subcases Monthly'!E87="","",('Subcases Monthly'!E87*'Subcases Weighted Total (Auto)'!$R87))</f>
        <v>35</v>
      </c>
      <c r="F87" s="99">
        <f>IF('Subcases Monthly'!F87="","",('Subcases Monthly'!F87*'Subcases Weighted Total (Auto)'!$R87))</f>
        <v>38</v>
      </c>
      <c r="G87" s="99">
        <f>IF('Subcases Monthly'!G87="","",('Subcases Monthly'!G87*'Subcases Weighted Total (Auto)'!$R87))</f>
        <v>31</v>
      </c>
      <c r="H87" s="99">
        <f>IF('Subcases Monthly'!H87="","",('Subcases Monthly'!H87*'Subcases Weighted Total (Auto)'!$R87))</f>
        <v>45</v>
      </c>
      <c r="I87" s="99">
        <f>IF('Subcases Monthly'!I87="","",('Subcases Monthly'!I87*'Subcases Weighted Total (Auto)'!$R87))</f>
        <v>0</v>
      </c>
      <c r="J87" s="99">
        <f>IF('Subcases Monthly'!J87="","",('Subcases Monthly'!J87*'Subcases Weighted Total (Auto)'!$R87))</f>
        <v>0</v>
      </c>
      <c r="K87" s="99">
        <f>IF('Subcases Monthly'!K87="","",('Subcases Monthly'!K87*'Subcases Weighted Total (Auto)'!$R87))</f>
        <v>0</v>
      </c>
      <c r="L87" s="99">
        <f>IF('Subcases Monthly'!L87="","",('Subcases Monthly'!L87*'Subcases Weighted Total (Auto)'!$R87))</f>
        <v>0</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149</v>
      </c>
      <c r="R87" s="204">
        <f>LookupData!$A$154</f>
        <v>1</v>
      </c>
      <c r="S87" s="4"/>
    </row>
    <row r="88" spans="1:19" ht="20.100000000000001" customHeight="1" x14ac:dyDescent="0.2">
      <c r="B88" s="190" t="str">
        <f>IF('Subcases Monthly'!B88="","",'Subcases Monthly'!B88)</f>
        <v/>
      </c>
      <c r="C88" s="461" t="str">
        <f>'Subcases Monthly'!C88:D88</f>
        <v>Petition to Open Safe Deposit Box (Non-SRS)</v>
      </c>
      <c r="D88" s="462"/>
      <c r="E88" s="95">
        <f>IF('Subcases Monthly'!E88="","",('Subcases Monthly'!E88*'Subcases Weighted Total (Auto)'!$R88))</f>
        <v>0</v>
      </c>
      <c r="F88" s="96">
        <f>IF('Subcases Monthly'!F88="","",('Subcases Monthly'!F88*'Subcases Weighted Total (Auto)'!$R88))</f>
        <v>2</v>
      </c>
      <c r="G88" s="96">
        <f>IF('Subcases Monthly'!G88="","",('Subcases Monthly'!G88*'Subcases Weighted Total (Auto)'!$R88))</f>
        <v>2</v>
      </c>
      <c r="H88" s="96">
        <f>IF('Subcases Monthly'!H88="","",('Subcases Monthly'!H88*'Subcases Weighted Total (Auto)'!$R88))</f>
        <v>4</v>
      </c>
      <c r="I88" s="96">
        <f>IF('Subcases Monthly'!I88="","",('Subcases Monthly'!I88*'Subcases Weighted Total (Auto)'!$R88))</f>
        <v>0</v>
      </c>
      <c r="J88" s="96">
        <f>IF('Subcases Monthly'!J88="","",('Subcases Monthly'!J88*'Subcases Weighted Total (Auto)'!$R88))</f>
        <v>0</v>
      </c>
      <c r="K88" s="96">
        <f>IF('Subcases Monthly'!K88="","",('Subcases Monthly'!K88*'Subcases Weighted Total (Auto)'!$R88))</f>
        <v>0</v>
      </c>
      <c r="L88" s="96">
        <f>IF('Subcases Monthly'!L88="","",('Subcases Monthly'!L88*'Subcases Weighted Total (Auto)'!$R88))</f>
        <v>0</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8</v>
      </c>
      <c r="R88" s="204">
        <f>LookupData!$A$155</f>
        <v>2</v>
      </c>
      <c r="S88" s="4"/>
    </row>
    <row r="89" spans="1:19" ht="20.100000000000001" customHeight="1" x14ac:dyDescent="0.2">
      <c r="B89" s="190" t="str">
        <f>IF('Subcases Monthly'!B89="","",'Subcases Monthly'!B89)</f>
        <v/>
      </c>
      <c r="C89" s="461" t="str">
        <f>'Subcases Monthly'!C89:D89</f>
        <v>Caveat (Non-SRS)</v>
      </c>
      <c r="D89" s="462"/>
      <c r="E89" s="98">
        <f>IF('Subcases Monthly'!E89="","",('Subcases Monthly'!E89*'Subcases Weighted Total (Auto)'!$R89))</f>
        <v>12</v>
      </c>
      <c r="F89" s="99">
        <f>IF('Subcases Monthly'!F89="","",('Subcases Monthly'!F89*'Subcases Weighted Total (Auto)'!$R89))</f>
        <v>14</v>
      </c>
      <c r="G89" s="99">
        <f>IF('Subcases Monthly'!G89="","",('Subcases Monthly'!G89*'Subcases Weighted Total (Auto)'!$R89))</f>
        <v>4</v>
      </c>
      <c r="H89" s="99">
        <f>IF('Subcases Monthly'!H89="","",('Subcases Monthly'!H89*'Subcases Weighted Total (Auto)'!$R89))</f>
        <v>2</v>
      </c>
      <c r="I89" s="99">
        <f>IF('Subcases Monthly'!I89="","",('Subcases Monthly'!I89*'Subcases Weighted Total (Auto)'!$R89))</f>
        <v>0</v>
      </c>
      <c r="J89" s="99">
        <f>IF('Subcases Monthly'!J89="","",('Subcases Monthly'!J89*'Subcases Weighted Total (Auto)'!$R89))</f>
        <v>0</v>
      </c>
      <c r="K89" s="99">
        <f>IF('Subcases Monthly'!K89="","",('Subcases Monthly'!K89*'Subcases Weighted Total (Auto)'!$R89))</f>
        <v>0</v>
      </c>
      <c r="L89" s="99">
        <f>IF('Subcases Monthly'!L89="","",('Subcases Monthly'!L89*'Subcases Weighted Total (Auto)'!$R89))</f>
        <v>0</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32</v>
      </c>
      <c r="R89" s="204">
        <f>LookupData!$A$156</f>
        <v>2</v>
      </c>
      <c r="S89" s="4"/>
    </row>
    <row r="90" spans="1:19" ht="20.100000000000001" customHeight="1" x14ac:dyDescent="0.2">
      <c r="B90" s="190" t="str">
        <f>IF('Subcases Monthly'!B90="","",'Subcases Monthly'!B90)</f>
        <v/>
      </c>
      <c r="C90" s="461" t="str">
        <f>'Subcases Monthly'!C90:D90</f>
        <v>Petition to Gain Entry to Apartment of Dwelling (Non-SRS)</v>
      </c>
      <c r="D90" s="462"/>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61" t="str">
        <f>'Subcases Monthly'!C91:D91</f>
        <v>Cert of Person's Imminent Dangerousness (Non-SRS)</v>
      </c>
      <c r="D91" s="462"/>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61" t="str">
        <f>'Subcases Monthly'!C92:D92</f>
        <v>Vulnerable Adults (SRS)</v>
      </c>
      <c r="D92" s="462"/>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0</v>
      </c>
      <c r="K92" s="96">
        <f>IF('Subcases Monthly'!K92="","",('Subcases Monthly'!K92*'Subcases Weighted Total (Auto)'!$R92))</f>
        <v>0</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6</v>
      </c>
      <c r="R92" s="238">
        <f>LookupData!$A$159</f>
        <v>6</v>
      </c>
      <c r="S92" s="4"/>
    </row>
    <row r="93" spans="1:19" ht="20.100000000000001" customHeight="1" thickBot="1" x14ac:dyDescent="0.25">
      <c r="B93" s="191"/>
      <c r="C93" s="469" t="str">
        <f>'Subcases Monthly'!C93:D93</f>
        <v>Cases unable to be categorized</v>
      </c>
      <c r="D93" s="470"/>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1" t="str">
        <f>'Subcases Monthly'!C94:D94</f>
        <v>Total Probate =</v>
      </c>
      <c r="D94" s="472"/>
      <c r="E94" s="200">
        <f t="shared" ref="E94:P94" si="21">SUM(E77:E93)</f>
        <v>2452</v>
      </c>
      <c r="F94" s="201">
        <f t="shared" si="21"/>
        <v>2243</v>
      </c>
      <c r="G94" s="201">
        <f t="shared" si="21"/>
        <v>2161</v>
      </c>
      <c r="H94" s="201">
        <f t="shared" si="21"/>
        <v>2549</v>
      </c>
      <c r="I94" s="201">
        <f t="shared" si="21"/>
        <v>0</v>
      </c>
      <c r="J94" s="201">
        <f t="shared" si="21"/>
        <v>0</v>
      </c>
      <c r="K94" s="201">
        <f t="shared" si="21"/>
        <v>0</v>
      </c>
      <c r="L94" s="201">
        <f t="shared" si="21"/>
        <v>0</v>
      </c>
      <c r="M94" s="201">
        <f t="shared" si="21"/>
        <v>0</v>
      </c>
      <c r="N94" s="201">
        <f t="shared" si="21"/>
        <v>0</v>
      </c>
      <c r="O94" s="201">
        <f t="shared" si="21"/>
        <v>0</v>
      </c>
      <c r="P94" s="202">
        <f t="shared" si="21"/>
        <v>0</v>
      </c>
      <c r="Q94" s="73">
        <f t="shared" si="20"/>
        <v>9405</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4" t="str">
        <f>'Subcases Monthly'!C97:D97</f>
        <v>Simplified Dissolution (SRS)</v>
      </c>
      <c r="D97" s="475"/>
      <c r="E97" s="92">
        <f>IF('Subcases Monthly'!E97="","",('Subcases Monthly'!E97*'Subcases Weighted Total (Auto)'!$R97))</f>
        <v>92</v>
      </c>
      <c r="F97" s="93">
        <f>IF('Subcases Monthly'!F97="","",('Subcases Monthly'!F97*'Subcases Weighted Total (Auto)'!$R97))</f>
        <v>84</v>
      </c>
      <c r="G97" s="93">
        <f>IF('Subcases Monthly'!G97="","",('Subcases Monthly'!G97*'Subcases Weighted Total (Auto)'!$R97))</f>
        <v>72</v>
      </c>
      <c r="H97" s="93">
        <f>IF('Subcases Monthly'!H97="","",('Subcases Monthly'!H97*'Subcases Weighted Total (Auto)'!$R97))</f>
        <v>92</v>
      </c>
      <c r="I97" s="93">
        <f>IF('Subcases Monthly'!I97="","",('Subcases Monthly'!I97*'Subcases Weighted Total (Auto)'!$R97))</f>
        <v>0</v>
      </c>
      <c r="J97" s="93">
        <f>IF('Subcases Monthly'!J97="","",('Subcases Monthly'!J97*'Subcases Weighted Total (Auto)'!$R97))</f>
        <v>0</v>
      </c>
      <c r="K97" s="93">
        <f>IF('Subcases Monthly'!K97="","",('Subcases Monthly'!K97*'Subcases Weighted Total (Auto)'!$R97))</f>
        <v>0</v>
      </c>
      <c r="L97" s="93">
        <f>IF('Subcases Monthly'!L97="","",('Subcases Monthly'!L97*'Subcases Weighted Total (Auto)'!$R97))</f>
        <v>0</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340</v>
      </c>
      <c r="R97" s="203">
        <f>LookupData!$A$162</f>
        <v>4</v>
      </c>
      <c r="S97" s="4"/>
    </row>
    <row r="98" spans="1:19" ht="20.100000000000001" customHeight="1" x14ac:dyDescent="0.2">
      <c r="A98" s="8"/>
      <c r="B98" s="190" t="str">
        <f>IF('Subcases Monthly'!B98="","",'Subcases Monthly'!B98)</f>
        <v/>
      </c>
      <c r="C98" s="461" t="str">
        <f>'Subcases Monthly'!C98:D98</f>
        <v>Dissolution (SRS)</v>
      </c>
      <c r="D98" s="462"/>
      <c r="E98" s="95">
        <f>IF('Subcases Monthly'!E98="","",('Subcases Monthly'!E98*'Subcases Weighted Total (Auto)'!$R98))</f>
        <v>1404</v>
      </c>
      <c r="F98" s="96">
        <f>IF('Subcases Monthly'!F98="","",('Subcases Monthly'!F98*'Subcases Weighted Total (Auto)'!$R98))</f>
        <v>1179</v>
      </c>
      <c r="G98" s="96">
        <f>IF('Subcases Monthly'!G98="","",('Subcases Monthly'!G98*'Subcases Weighted Total (Auto)'!$R98))</f>
        <v>1080</v>
      </c>
      <c r="H98" s="96">
        <f>IF('Subcases Monthly'!H98="","",('Subcases Monthly'!H98*'Subcases Weighted Total (Auto)'!$R98))</f>
        <v>1314</v>
      </c>
      <c r="I98" s="96">
        <f>IF('Subcases Monthly'!I98="","",('Subcases Monthly'!I98*'Subcases Weighted Total (Auto)'!$R98))</f>
        <v>0</v>
      </c>
      <c r="J98" s="96">
        <f>IF('Subcases Monthly'!J98="","",('Subcases Monthly'!J98*'Subcases Weighted Total (Auto)'!$R98))</f>
        <v>0</v>
      </c>
      <c r="K98" s="96">
        <f>IF('Subcases Monthly'!K98="","",('Subcases Monthly'!K98*'Subcases Weighted Total (Auto)'!$R98))</f>
        <v>0</v>
      </c>
      <c r="L98" s="96">
        <f>IF('Subcases Monthly'!L98="","",('Subcases Monthly'!L98*'Subcases Weighted Total (Auto)'!$R98))</f>
        <v>0</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4977</v>
      </c>
      <c r="R98" s="204">
        <f>LookupData!$A$163</f>
        <v>9</v>
      </c>
      <c r="S98" s="4"/>
    </row>
    <row r="99" spans="1:19" ht="20.100000000000001" customHeight="1" x14ac:dyDescent="0.2">
      <c r="A99" s="8"/>
      <c r="B99" s="190" t="str">
        <f>IF('Subcases Monthly'!B99="","",'Subcases Monthly'!B99)</f>
        <v/>
      </c>
      <c r="C99" s="461" t="str">
        <f>'Subcases Monthly'!C99:D99</f>
        <v>Injunctions for Protection (SRS)</v>
      </c>
      <c r="D99" s="462"/>
      <c r="E99" s="98">
        <f>IF('Subcases Monthly'!E99="","",('Subcases Monthly'!E99*'Subcases Weighted Total (Auto)'!$R99))</f>
        <v>1050</v>
      </c>
      <c r="F99" s="99">
        <f>IF('Subcases Monthly'!F99="","",('Subcases Monthly'!F99*'Subcases Weighted Total (Auto)'!$R99))</f>
        <v>876</v>
      </c>
      <c r="G99" s="99">
        <f>IF('Subcases Monthly'!G99="","",('Subcases Monthly'!G99*'Subcases Weighted Total (Auto)'!$R99))</f>
        <v>816</v>
      </c>
      <c r="H99" s="99">
        <f>IF('Subcases Monthly'!H99="","",('Subcases Monthly'!H99*'Subcases Weighted Total (Auto)'!$R99))</f>
        <v>894</v>
      </c>
      <c r="I99" s="99">
        <f>IF('Subcases Monthly'!I99="","",('Subcases Monthly'!I99*'Subcases Weighted Total (Auto)'!$R99))</f>
        <v>0</v>
      </c>
      <c r="J99" s="99">
        <f>IF('Subcases Monthly'!J99="","",('Subcases Monthly'!J99*'Subcases Weighted Total (Auto)'!$R99))</f>
        <v>0</v>
      </c>
      <c r="K99" s="99">
        <f>IF('Subcases Monthly'!K99="","",('Subcases Monthly'!K99*'Subcases Weighted Total (Auto)'!$R99))</f>
        <v>0</v>
      </c>
      <c r="L99" s="99">
        <f>IF('Subcases Monthly'!L99="","",('Subcases Monthly'!L99*'Subcases Weighted Total (Auto)'!$R99))</f>
        <v>0</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3636</v>
      </c>
      <c r="R99" s="204">
        <f>LookupData!$A$164</f>
        <v>6</v>
      </c>
      <c r="S99" s="4"/>
    </row>
    <row r="100" spans="1:19" ht="20.100000000000001" customHeight="1" x14ac:dyDescent="0.2">
      <c r="A100" s="8"/>
      <c r="B100" s="190" t="str">
        <f>IF('Subcases Monthly'!B100="","",'Subcases Monthly'!B100)</f>
        <v/>
      </c>
      <c r="C100" s="461" t="str">
        <f>'Subcases Monthly'!C100:D100</f>
        <v>Support (IV-D and Non IV-D) (SRS)</v>
      </c>
      <c r="D100" s="462"/>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64</v>
      </c>
      <c r="H100" s="96">
        <f>IF('Subcases Monthly'!H100="","",('Subcases Monthly'!H100*'Subcases Weighted Total (Auto)'!$R100))</f>
        <v>40</v>
      </c>
      <c r="I100" s="96">
        <f>IF('Subcases Monthly'!I100="","",('Subcases Monthly'!I100*'Subcases Weighted Total (Auto)'!$R100))</f>
        <v>0</v>
      </c>
      <c r="J100" s="96">
        <f>IF('Subcases Monthly'!J100="","",('Subcases Monthly'!J100*'Subcases Weighted Total (Auto)'!$R100))</f>
        <v>0</v>
      </c>
      <c r="K100" s="96">
        <f>IF('Subcases Monthly'!K100="","",('Subcases Monthly'!K100*'Subcases Weighted Total (Auto)'!$R100))</f>
        <v>0</v>
      </c>
      <c r="L100" s="96">
        <f>IF('Subcases Monthly'!L100="","",('Subcases Monthly'!L100*'Subcases Weighted Total (Auto)'!$R100))</f>
        <v>0</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264</v>
      </c>
      <c r="R100" s="204">
        <f>LookupData!$A$165</f>
        <v>8</v>
      </c>
      <c r="S100" s="4"/>
    </row>
    <row r="101" spans="1:19" ht="20.100000000000001" customHeight="1" x14ac:dyDescent="0.2">
      <c r="A101" s="8"/>
      <c r="B101" s="190" t="str">
        <f>IF('Subcases Monthly'!B101="","",'Subcases Monthly'!B101)</f>
        <v/>
      </c>
      <c r="C101" s="461" t="str">
        <f>'Subcases Monthly'!C101:D101</f>
        <v>UIFSA (IV-D and Non IV-D) (SRS)</v>
      </c>
      <c r="D101" s="462"/>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6</v>
      </c>
      <c r="H101" s="99">
        <f>IF('Subcases Monthly'!H101="","",('Subcases Monthly'!H101*'Subcases Weighted Total (Auto)'!$R101))</f>
        <v>6</v>
      </c>
      <c r="I101" s="99">
        <f>IF('Subcases Monthly'!I101="","",('Subcases Monthly'!I101*'Subcases Weighted Total (Auto)'!$R101))</f>
        <v>0</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24</v>
      </c>
      <c r="R101" s="204">
        <f>LookupData!$A$166</f>
        <v>6</v>
      </c>
      <c r="S101" s="4"/>
    </row>
    <row r="102" spans="1:19" ht="20.100000000000001" customHeight="1" x14ac:dyDescent="0.2">
      <c r="A102" s="8"/>
      <c r="B102" s="190" t="str">
        <f>IF('Subcases Monthly'!B102="","",'Subcases Monthly'!B102)</f>
        <v/>
      </c>
      <c r="C102" s="461" t="str">
        <f>'Subcases Monthly'!C102:D102</f>
        <v>Other Family Court (SRS)</v>
      </c>
      <c r="D102" s="462"/>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55</v>
      </c>
      <c r="H102" s="96">
        <f>IF('Subcases Monthly'!H102="","",('Subcases Monthly'!H102*'Subcases Weighted Total (Auto)'!$R102))</f>
        <v>85</v>
      </c>
      <c r="I102" s="96">
        <f>IF('Subcases Monthly'!I102="","",('Subcases Monthly'!I102*'Subcases Weighted Total (Auto)'!$R102))</f>
        <v>0</v>
      </c>
      <c r="J102" s="96">
        <f>IF('Subcases Monthly'!J102="","",('Subcases Monthly'!J102*'Subcases Weighted Total (Auto)'!$R102))</f>
        <v>0</v>
      </c>
      <c r="K102" s="96">
        <f>IF('Subcases Monthly'!K102="","",('Subcases Monthly'!K102*'Subcases Weighted Total (Auto)'!$R102))</f>
        <v>0</v>
      </c>
      <c r="L102" s="96">
        <f>IF('Subcases Monthly'!L102="","",('Subcases Monthly'!L102*'Subcases Weighted Total (Auto)'!$R102))</f>
        <v>0</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275</v>
      </c>
      <c r="R102" s="204">
        <f>LookupData!$A$167</f>
        <v>5</v>
      </c>
      <c r="S102" s="4"/>
    </row>
    <row r="103" spans="1:19" ht="20.100000000000001" customHeight="1" x14ac:dyDescent="0.2">
      <c r="A103" s="8"/>
      <c r="B103" s="190" t="str">
        <f>IF('Subcases Monthly'!B103="","",'Subcases Monthly'!B103)</f>
        <v/>
      </c>
      <c r="C103" s="461" t="str">
        <f>'Subcases Monthly'!C103:D103</f>
        <v>Adoption Arising out of Chapter 63 (SRS)</v>
      </c>
      <c r="D103" s="462"/>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48</v>
      </c>
      <c r="H103" s="99">
        <f>IF('Subcases Monthly'!H103="","",('Subcases Monthly'!H103*'Subcases Weighted Total (Auto)'!$R103))</f>
        <v>92</v>
      </c>
      <c r="I103" s="99">
        <f>IF('Subcases Monthly'!I103="","",('Subcases Monthly'!I103*'Subcases Weighted Total (Auto)'!$R103))</f>
        <v>0</v>
      </c>
      <c r="J103" s="99">
        <f>IF('Subcases Monthly'!J103="","",('Subcases Monthly'!J103*'Subcases Weighted Total (Auto)'!$R103))</f>
        <v>0</v>
      </c>
      <c r="K103" s="99">
        <f>IF('Subcases Monthly'!K103="","",('Subcases Monthly'!K103*'Subcases Weighted Total (Auto)'!$R103))</f>
        <v>0</v>
      </c>
      <c r="L103" s="99">
        <f>IF('Subcases Monthly'!L103="","",('Subcases Monthly'!L103*'Subcases Weighted Total (Auto)'!$R103))</f>
        <v>0</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288</v>
      </c>
      <c r="R103" s="204">
        <f>LookupData!$A$168</f>
        <v>4</v>
      </c>
      <c r="S103" s="4"/>
    </row>
    <row r="104" spans="1:19" ht="20.100000000000001" customHeight="1" x14ac:dyDescent="0.2">
      <c r="A104" s="8"/>
      <c r="B104" s="190" t="str">
        <f>IF('Subcases Monthly'!B104="","",'Subcases Monthly'!B104)</f>
        <v/>
      </c>
      <c r="C104" s="461" t="str">
        <f>'Subcases Monthly'!C104:D104</f>
        <v>Name Change (SRS)</v>
      </c>
      <c r="D104" s="462"/>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95</v>
      </c>
      <c r="H104" s="96">
        <f>IF('Subcases Monthly'!H104="","",('Subcases Monthly'!H104*'Subcases Weighted Total (Auto)'!$R104))</f>
        <v>190</v>
      </c>
      <c r="I104" s="96">
        <f>IF('Subcases Monthly'!I104="","",('Subcases Monthly'!I104*'Subcases Weighted Total (Auto)'!$R104))</f>
        <v>0</v>
      </c>
      <c r="J104" s="96">
        <f>IF('Subcases Monthly'!J104="","",('Subcases Monthly'!J104*'Subcases Weighted Total (Auto)'!$R104))</f>
        <v>0</v>
      </c>
      <c r="K104" s="96">
        <f>IF('Subcases Monthly'!K104="","",('Subcases Monthly'!K104*'Subcases Weighted Total (Auto)'!$R104))</f>
        <v>0</v>
      </c>
      <c r="L104" s="96">
        <f>IF('Subcases Monthly'!L104="","",('Subcases Monthly'!L104*'Subcases Weighted Total (Auto)'!$R104))</f>
        <v>0</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480</v>
      </c>
      <c r="R104" s="204">
        <f>LookupData!$A$169</f>
        <v>5</v>
      </c>
      <c r="S104" s="4"/>
    </row>
    <row r="105" spans="1:19" ht="20.100000000000001" customHeight="1" x14ac:dyDescent="0.2">
      <c r="A105" s="8"/>
      <c r="B105" s="190" t="str">
        <f>IF('Subcases Monthly'!B105="","",'Subcases Monthly'!B105)</f>
        <v/>
      </c>
      <c r="C105" s="461" t="str">
        <f>'Subcases Monthly'!C105:D105</f>
        <v>Paternity/Disestablishment of Paternity (SRS)</v>
      </c>
      <c r="D105" s="462"/>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224</v>
      </c>
      <c r="H105" s="99">
        <f>IF('Subcases Monthly'!H105="","",('Subcases Monthly'!H105*'Subcases Weighted Total (Auto)'!$R105))</f>
        <v>245</v>
      </c>
      <c r="I105" s="99">
        <f>IF('Subcases Monthly'!I105="","",('Subcases Monthly'!I105*'Subcases Weighted Total (Auto)'!$R105))</f>
        <v>0</v>
      </c>
      <c r="J105" s="99">
        <f>IF('Subcases Monthly'!J105="","",('Subcases Monthly'!J105*'Subcases Weighted Total (Auto)'!$R105))</f>
        <v>0</v>
      </c>
      <c r="K105" s="99">
        <f>IF('Subcases Monthly'!K105="","",('Subcases Monthly'!K105*'Subcases Weighted Total (Auto)'!$R105))</f>
        <v>0</v>
      </c>
      <c r="L105" s="99">
        <f>IF('Subcases Monthly'!L105="","",('Subcases Monthly'!L105*'Subcases Weighted Total (Auto)'!$R105))</f>
        <v>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742</v>
      </c>
      <c r="R105" s="204">
        <f>LookupData!$A$170</f>
        <v>7</v>
      </c>
      <c r="S105" s="4"/>
    </row>
    <row r="106" spans="1:19" ht="20.100000000000001" customHeight="1" x14ac:dyDescent="0.2">
      <c r="A106" s="8"/>
      <c r="B106" s="190" t="str">
        <f>IF('Subcases Monthly'!B106="","",'Subcases Monthly'!B106)</f>
        <v/>
      </c>
      <c r="C106" s="461" t="str">
        <f>'Subcases Monthly'!C106:D106</f>
        <v>New Cases (Non-SRS)</v>
      </c>
      <c r="D106" s="462"/>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116</v>
      </c>
      <c r="H106" s="96">
        <f>IF('Subcases Monthly'!H106="","",('Subcases Monthly'!H106*'Subcases Weighted Total (Auto)'!$R106))</f>
        <v>94</v>
      </c>
      <c r="I106" s="96">
        <f>IF('Subcases Monthly'!I106="","",('Subcases Monthly'!I106*'Subcases Weighted Total (Auto)'!$R106))</f>
        <v>0</v>
      </c>
      <c r="J106" s="96">
        <f>IF('Subcases Monthly'!J106="","",('Subcases Monthly'!J106*'Subcases Weighted Total (Auto)'!$R106))</f>
        <v>0</v>
      </c>
      <c r="K106" s="96">
        <f>IF('Subcases Monthly'!K106="","",('Subcases Monthly'!K106*'Subcases Weighted Total (Auto)'!$R106))</f>
        <v>0</v>
      </c>
      <c r="L106" s="96">
        <f>IF('Subcases Monthly'!L106="","",('Subcases Monthly'!L106*'Subcases Weighted Total (Auto)'!$R106))</f>
        <v>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314</v>
      </c>
      <c r="R106" s="238">
        <f>LookupData!$A$171</f>
        <v>2</v>
      </c>
      <c r="S106" s="4"/>
    </row>
    <row r="107" spans="1:19" ht="20.100000000000001" customHeight="1" thickBot="1" x14ac:dyDescent="0.25">
      <c r="A107" s="8"/>
      <c r="B107" s="191"/>
      <c r="C107" s="469" t="str">
        <f>'Subcases Monthly'!C107:D107</f>
        <v>Cases unable to be categorized</v>
      </c>
      <c r="D107" s="470"/>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1" t="str">
        <f>'Subcases Monthly'!C108:D108</f>
        <v>Total Family =</v>
      </c>
      <c r="D108" s="472"/>
      <c r="E108" s="200">
        <f>SUM(E97:E107)</f>
        <v>3064</v>
      </c>
      <c r="F108" s="201">
        <f t="shared" ref="F108:P108" si="24">SUM(F97:F107)</f>
        <v>2648</v>
      </c>
      <c r="G108" s="201">
        <f t="shared" si="24"/>
        <v>2576</v>
      </c>
      <c r="H108" s="201">
        <f t="shared" si="24"/>
        <v>3052</v>
      </c>
      <c r="I108" s="201">
        <f t="shared" si="24"/>
        <v>0</v>
      </c>
      <c r="J108" s="201">
        <f t="shared" si="24"/>
        <v>0</v>
      </c>
      <c r="K108" s="201">
        <f t="shared" si="24"/>
        <v>0</v>
      </c>
      <c r="L108" s="201">
        <f t="shared" si="24"/>
        <v>0</v>
      </c>
      <c r="M108" s="201">
        <f t="shared" si="24"/>
        <v>0</v>
      </c>
      <c r="N108" s="201">
        <f t="shared" si="24"/>
        <v>0</v>
      </c>
      <c r="O108" s="201">
        <f t="shared" si="24"/>
        <v>0</v>
      </c>
      <c r="P108" s="202">
        <f t="shared" si="24"/>
        <v>0</v>
      </c>
      <c r="Q108" s="69">
        <f t="shared" si="23"/>
        <v>11340</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4" t="str">
        <f>'Subcases Monthly'!C111:D111</f>
        <v>Dependency Initiating Petitions (SRS)</v>
      </c>
      <c r="D111" s="475"/>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180</v>
      </c>
      <c r="H111" s="93">
        <f>IF('Subcases Monthly'!H111="","",('Subcases Monthly'!H111*'Subcases Weighted Total (Auto)'!$R111))</f>
        <v>90</v>
      </c>
      <c r="I111" s="93">
        <f>IF('Subcases Monthly'!I111="","",('Subcases Monthly'!I111*'Subcases Weighted Total (Auto)'!$R111))</f>
        <v>0</v>
      </c>
      <c r="J111" s="93">
        <f>IF('Subcases Monthly'!J111="","",('Subcases Monthly'!J111*'Subcases Weighted Total (Auto)'!$R111))</f>
        <v>0</v>
      </c>
      <c r="K111" s="93">
        <f>IF('Subcases Monthly'!K111="","",('Subcases Monthly'!K111*'Subcases Weighted Total (Auto)'!$R111))</f>
        <v>0</v>
      </c>
      <c r="L111" s="93">
        <f>IF('Subcases Monthly'!L111="","",('Subcases Monthly'!L111*'Subcases Weighted Total (Auto)'!$R111))</f>
        <v>0</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567</v>
      </c>
      <c r="R111" s="203">
        <f>LookupData!$A$174</f>
        <v>9</v>
      </c>
      <c r="S111" s="4"/>
    </row>
    <row r="112" spans="1:19" ht="20.100000000000001" customHeight="1" x14ac:dyDescent="0.2">
      <c r="B112" s="190" t="str">
        <f>IF('Subcases Monthly'!B112="","",'Subcases Monthly'!B112)</f>
        <v/>
      </c>
      <c r="C112" s="461" t="str">
        <f>'Subcases Monthly'!C112:D112</f>
        <v>Petitions to Remove Disabilities of Non-Age Minors (743.015) (SRS)</v>
      </c>
      <c r="D112" s="462"/>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3</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3</v>
      </c>
      <c r="R112" s="204">
        <f>LookupData!$A$175</f>
        <v>3</v>
      </c>
      <c r="S112" s="4"/>
    </row>
    <row r="113" spans="1:19" ht="20.100000000000001" customHeight="1" x14ac:dyDescent="0.2">
      <c r="B113" s="190" t="str">
        <f>IF('Subcases Monthly'!B113="","",'Subcases Monthly'!B113)</f>
        <v/>
      </c>
      <c r="C113" s="461" t="str">
        <f>'Subcases Monthly'!C113:D113</f>
        <v>CINS/FINS (SRS)</v>
      </c>
      <c r="D113" s="462"/>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0</v>
      </c>
      <c r="R113" s="204">
        <f>LookupData!$A$176</f>
        <v>4</v>
      </c>
      <c r="S113" s="4"/>
    </row>
    <row r="114" spans="1:19" ht="20.100000000000001" customHeight="1" x14ac:dyDescent="0.2">
      <c r="B114" s="190" t="str">
        <f>IF('Subcases Monthly'!B114="","",'Subcases Monthly'!B114)</f>
        <v/>
      </c>
      <c r="C114" s="461" t="str">
        <f>'Subcases Monthly'!C114:D114</f>
        <v>Parental Notice of Abortion Act (SRS)</v>
      </c>
      <c r="D114" s="462"/>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0</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0</v>
      </c>
      <c r="R114" s="204">
        <f>LookupData!$A$177</f>
        <v>3</v>
      </c>
      <c r="S114" s="4"/>
    </row>
    <row r="115" spans="1:19" ht="20.100000000000001" customHeight="1" x14ac:dyDescent="0.2">
      <c r="B115" s="190" t="str">
        <f>IF('Subcases Monthly'!B115="","",'Subcases Monthly'!B115)</f>
        <v/>
      </c>
      <c r="C115" s="461" t="str">
        <f>'Subcases Monthly'!C115:D115</f>
        <v>Truancy (Non-SRS)</v>
      </c>
      <c r="D115" s="462"/>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4</v>
      </c>
      <c r="H115" s="99">
        <f>IF('Subcases Monthly'!H115="","",('Subcases Monthly'!H115*'Subcases Weighted Total (Auto)'!$R115))</f>
        <v>8</v>
      </c>
      <c r="I115" s="99">
        <f>IF('Subcases Monthly'!I115="","",('Subcases Monthly'!I115*'Subcases Weighted Total (Auto)'!$R115))</f>
        <v>0</v>
      </c>
      <c r="J115" s="99">
        <f>IF('Subcases Monthly'!J115="","",('Subcases Monthly'!J115*'Subcases Weighted Total (Auto)'!$R115))</f>
        <v>0</v>
      </c>
      <c r="K115" s="99">
        <f>IF('Subcases Monthly'!K115="","",('Subcases Monthly'!K115*'Subcases Weighted Total (Auto)'!$R115))</f>
        <v>0</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32</v>
      </c>
      <c r="R115" s="204">
        <f>LookupData!$A$178</f>
        <v>4</v>
      </c>
      <c r="S115" s="4"/>
    </row>
    <row r="116" spans="1:19" ht="20.100000000000001" customHeight="1" x14ac:dyDescent="0.2">
      <c r="B116" s="190" t="str">
        <f>IF('Subcases Monthly'!B116="","",'Subcases Monthly'!B116)</f>
        <v/>
      </c>
      <c r="C116" s="461" t="str">
        <f>'Subcases Monthly'!C116:D116</f>
        <v>Transfers for Jurisdiction/Supervision Only (Non-SRS)</v>
      </c>
      <c r="D116" s="462"/>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61" t="str">
        <f>'Subcases Monthly'!C117:D117</f>
        <v>DCF Dependency Petition for Injunction per Chapter 39 (Non-SRS)</v>
      </c>
      <c r="D117" s="462"/>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04">
        <f>LookupData!$A$180</f>
        <v>4</v>
      </c>
      <c r="S117" s="4"/>
    </row>
    <row r="118" spans="1:19" ht="20.100000000000001" customHeight="1" x14ac:dyDescent="0.2">
      <c r="B118" s="190" t="str">
        <f>IF('Subcases Monthly'!B118="","",'Subcases Monthly'!B118)</f>
        <v/>
      </c>
      <c r="C118" s="461" t="str">
        <f>'Subcases Monthly'!C118:D118</f>
        <v>Other New Cases (Non-SRS)</v>
      </c>
      <c r="D118" s="462"/>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69" t="str">
        <f>'Subcases Monthly'!C119:D119</f>
        <v>Cases unable to be categorized</v>
      </c>
      <c r="D119" s="470"/>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1" t="str">
        <f>'Subcases Monthly'!C120:D120</f>
        <v>Total Juvenile Dependency =</v>
      </c>
      <c r="D120" s="472"/>
      <c r="E120" s="200">
        <f>SUM(E111:E119)</f>
        <v>147</v>
      </c>
      <c r="F120" s="201">
        <f t="shared" ref="F120:P120" si="27">SUM(F111:F119)</f>
        <v>170</v>
      </c>
      <c r="G120" s="201">
        <f t="shared" si="27"/>
        <v>187</v>
      </c>
      <c r="H120" s="201">
        <f t="shared" si="27"/>
        <v>98</v>
      </c>
      <c r="I120" s="201">
        <f t="shared" si="27"/>
        <v>0</v>
      </c>
      <c r="J120" s="201">
        <f t="shared" si="27"/>
        <v>0</v>
      </c>
      <c r="K120" s="201">
        <f t="shared" si="27"/>
        <v>0</v>
      </c>
      <c r="L120" s="201">
        <f t="shared" si="27"/>
        <v>0</v>
      </c>
      <c r="M120" s="201">
        <f t="shared" si="27"/>
        <v>0</v>
      </c>
      <c r="N120" s="201">
        <f t="shared" si="27"/>
        <v>0</v>
      </c>
      <c r="O120" s="201">
        <f t="shared" si="27"/>
        <v>0</v>
      </c>
      <c r="P120" s="202">
        <f t="shared" si="27"/>
        <v>0</v>
      </c>
      <c r="Q120" s="110">
        <f t="shared" si="26"/>
        <v>602</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67" t="str">
        <f>'Subcases Monthly'!C123:D123</f>
        <v>Uniform Traffic Citations</v>
      </c>
      <c r="D123" s="468"/>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5649</v>
      </c>
      <c r="H123" s="183">
        <f>IF('Subcases Monthly'!H123="","",('Subcases Monthly'!H123*'Subcases Weighted Total (Auto)'!$R123))</f>
        <v>7326</v>
      </c>
      <c r="I123" s="183">
        <f>IF('Subcases Monthly'!I123="","",('Subcases Monthly'!I123*'Subcases Weighted Total (Auto)'!$R123))</f>
        <v>0</v>
      </c>
      <c r="J123" s="183">
        <f>IF('Subcases Monthly'!J123="","",('Subcases Monthly'!J123*'Subcases Weighted Total (Auto)'!$R123))</f>
        <v>0</v>
      </c>
      <c r="K123" s="183">
        <f>IF('Subcases Monthly'!K123="","",('Subcases Monthly'!K123*'Subcases Weighted Total (Auto)'!$R123))</f>
        <v>0</v>
      </c>
      <c r="L123" s="183">
        <f>IF('Subcases Monthly'!L123="","",('Subcases Monthly'!L123*'Subcases Weighted Total (Auto)'!$R123))</f>
        <v>0</v>
      </c>
      <c r="M123" s="183">
        <f>IF('Subcases Monthly'!M123="","",('Subcases Monthly'!M123*'Subcases Weighted Total (Auto)'!$R123))</f>
        <v>0</v>
      </c>
      <c r="N123" s="183">
        <f>IF('Subcases Monthly'!N123="","",('Subcases Monthly'!N123*'Subcases Weighted Total (Auto)'!$R123))</f>
        <v>0</v>
      </c>
      <c r="O123" s="183">
        <f>IF('Subcases Monthly'!O123="","",('Subcases Monthly'!O123*'Subcases Weighted Total (Auto)'!$R123))</f>
        <v>0</v>
      </c>
      <c r="P123" s="184">
        <f>IF('Subcases Monthly'!P123="","",('Subcases Monthly'!P123*'Subcases Weighted Total (Auto)'!$R123))</f>
        <v>0</v>
      </c>
      <c r="Q123" s="185">
        <f t="shared" ref="Q123:Q124" si="29">SUM(E123:P123)</f>
        <v>23403</v>
      </c>
      <c r="R123" s="181">
        <f>LookupData!$A$184</f>
        <v>1.5</v>
      </c>
      <c r="S123" s="4"/>
    </row>
    <row r="124" spans="1:19" ht="20.100000000000001" customHeight="1" thickTop="1" thickBot="1" x14ac:dyDescent="0.25">
      <c r="B124" s="194" t="str">
        <f>IF('Subcases Monthly'!B124="","",'Subcases Monthly'!B124)</f>
        <v/>
      </c>
      <c r="C124" s="465" t="str">
        <f>'Subcases Monthly'!C124:D124</f>
        <v>Total Civil Traffic - UTCs =</v>
      </c>
      <c r="D124" s="466"/>
      <c r="E124" s="76">
        <f t="shared" ref="E124:P124" si="30">SUM(E123:E123)</f>
        <v>4890</v>
      </c>
      <c r="F124" s="64">
        <f t="shared" si="30"/>
        <v>5538</v>
      </c>
      <c r="G124" s="64">
        <f t="shared" si="30"/>
        <v>5649</v>
      </c>
      <c r="H124" s="64">
        <f t="shared" si="30"/>
        <v>7326</v>
      </c>
      <c r="I124" s="64">
        <f t="shared" si="30"/>
        <v>0</v>
      </c>
      <c r="J124" s="64">
        <f t="shared" si="30"/>
        <v>0</v>
      </c>
      <c r="K124" s="64">
        <f t="shared" si="30"/>
        <v>0</v>
      </c>
      <c r="L124" s="64">
        <f t="shared" si="30"/>
        <v>0</v>
      </c>
      <c r="M124" s="64">
        <f t="shared" si="30"/>
        <v>0</v>
      </c>
      <c r="N124" s="64">
        <f t="shared" si="30"/>
        <v>0</v>
      </c>
      <c r="O124" s="64">
        <f t="shared" si="30"/>
        <v>0</v>
      </c>
      <c r="P124" s="77">
        <f t="shared" si="30"/>
        <v>0</v>
      </c>
      <c r="Q124" s="110">
        <f t="shared" si="29"/>
        <v>23403</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H4:I4"/>
    <mergeCell ref="Q4:R5"/>
    <mergeCell ref="D5:E5"/>
    <mergeCell ref="D6:E6"/>
    <mergeCell ref="E9:P9"/>
    <mergeCell ref="C15:D15"/>
    <mergeCell ref="C14:D14"/>
    <mergeCell ref="C13:D13"/>
    <mergeCell ref="C11:D11"/>
    <mergeCell ref="D4:E4"/>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C123:D123"/>
    <mergeCell ref="C124:D124"/>
    <mergeCell ref="C111:D111"/>
    <mergeCell ref="C112:D112"/>
    <mergeCell ref="C113:D113"/>
    <mergeCell ref="C114:D114"/>
    <mergeCell ref="C115:D115"/>
    <mergeCell ref="C116:D116"/>
    <mergeCell ref="C117:D117"/>
    <mergeCell ref="C118:D118"/>
    <mergeCell ref="C119:D119"/>
    <mergeCell ref="C120:D120"/>
    <mergeCell ref="C34:D34"/>
    <mergeCell ref="C35:D35"/>
    <mergeCell ref="C36:D36"/>
    <mergeCell ref="C39:D39"/>
    <mergeCell ref="C40:D40"/>
    <mergeCell ref="C41:D41"/>
    <mergeCell ref="C42:D42"/>
    <mergeCell ref="C43:D43"/>
    <mergeCell ref="C44:D44"/>
    <mergeCell ref="C45:D45"/>
    <mergeCell ref="C46:D46"/>
    <mergeCell ref="C47:D47"/>
    <mergeCell ref="C48:D48"/>
    <mergeCell ref="C55:D55"/>
    <mergeCell ref="C56:D56"/>
    <mergeCell ref="C57:D57"/>
    <mergeCell ref="C58:D58"/>
    <mergeCell ref="C59:D59"/>
    <mergeCell ref="C60:D60"/>
    <mergeCell ref="C63:D63"/>
    <mergeCell ref="C64:D64"/>
    <mergeCell ref="C65:D65"/>
    <mergeCell ref="C66:D66"/>
    <mergeCell ref="C68:D68"/>
    <mergeCell ref="C67:D67"/>
    <mergeCell ref="C69:D69"/>
    <mergeCell ref="C70:D70"/>
    <mergeCell ref="C71:D71"/>
    <mergeCell ref="C72:D72"/>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January</v>
      </c>
      <c r="C9" s="43" t="str">
        <f>IF('Subcases Monthly'!H4="",TEXT(EDATE(B5,-1),"MMMM"),'Subcases Monthly'!H4)</f>
        <v>January</v>
      </c>
      <c r="G9" s="47">
        <v>8</v>
      </c>
      <c r="L9" s="48"/>
    </row>
    <row r="10" spans="1:15" x14ac:dyDescent="0.25">
      <c r="A10" s="49" t="s">
        <v>115</v>
      </c>
      <c r="B10" s="43" t="str">
        <f>E1&amp;" "&amp;B1&amp;" "&amp;B9&amp;" Ver"&amp;B8&amp;" "&amp;TEXT(B5,"Mmddyy")&amp;".xlsx"</f>
        <v>Brevard Outputs January VerCarol Vail  012025.xlsx</v>
      </c>
      <c r="G10" s="47">
        <v>9</v>
      </c>
      <c r="L10" s="48"/>
    </row>
    <row r="11" spans="1:15" x14ac:dyDescent="0.25">
      <c r="A11" s="49" t="s">
        <v>117</v>
      </c>
      <c r="B11" s="43" t="str">
        <f>"R:\!CFY"&amp;(N2-2000)&amp;""&amp;(N2-1999)&amp;"\Incoming Reports\Outputs\"&amp;B9&amp;"\"</f>
        <v>R:\!CFY2425\Incoming Reports\Outputs\January\</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473</v>
      </c>
      <c r="J21" s="187">
        <f>'Subcases Monthly'!H11</f>
        <v>528</v>
      </c>
      <c r="K21" s="187">
        <f>'Subcases Monthly'!I11</f>
        <v>0</v>
      </c>
      <c r="L21" s="187">
        <f>'Subcases Monthly'!J11</f>
        <v>0</v>
      </c>
      <c r="M21" s="187">
        <f>'Subcases Monthly'!K11</f>
        <v>0</v>
      </c>
      <c r="N21" s="187">
        <f>'Subcases Monthly'!L11</f>
        <v>0</v>
      </c>
      <c r="O21" s="187">
        <f>'Subcases Monthly'!M11</f>
        <v>0</v>
      </c>
      <c r="P21" s="187">
        <f>'Subcases Monthly'!N11</f>
        <v>0</v>
      </c>
      <c r="Q21" s="187">
        <f>'Subcases Monthly'!O11</f>
        <v>0</v>
      </c>
      <c r="R21" s="187">
        <f>'Subcases Monthly'!P11</f>
        <v>0</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0</v>
      </c>
      <c r="L22" s="187">
        <f>'Subcases Monthly'!J12</f>
        <v>0</v>
      </c>
      <c r="M22" s="187">
        <f>'Subcases Monthly'!K12</f>
        <v>0</v>
      </c>
      <c r="N22" s="187">
        <f>'Subcases Monthly'!L12</f>
        <v>0</v>
      </c>
      <c r="O22" s="187">
        <f>'Subcases Monthly'!M12</f>
        <v>0</v>
      </c>
      <c r="P22" s="187">
        <f>'Subcases Monthly'!N12</f>
        <v>0</v>
      </c>
      <c r="Q22" s="187">
        <f>'Subcases Monthly'!O12</f>
        <v>0</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30</v>
      </c>
      <c r="J23" s="187">
        <f>'Subcases Monthly'!H13</f>
        <v>22</v>
      </c>
      <c r="K23" s="187">
        <f>'Subcases Monthly'!I13</f>
        <v>0</v>
      </c>
      <c r="L23" s="187">
        <f>'Subcases Monthly'!J13</f>
        <v>0</v>
      </c>
      <c r="M23" s="187">
        <f>'Subcases Monthly'!K13</f>
        <v>0</v>
      </c>
      <c r="N23" s="187">
        <f>'Subcases Monthly'!L13</f>
        <v>0</v>
      </c>
      <c r="O23" s="187">
        <f>'Subcases Monthly'!M13</f>
        <v>0</v>
      </c>
      <c r="P23" s="187">
        <f>'Subcases Monthly'!N13</f>
        <v>0</v>
      </c>
      <c r="Q23" s="187">
        <f>'Subcases Monthly'!O13</f>
        <v>0</v>
      </c>
      <c r="R23" s="187">
        <f>'Subcases Monthly'!P13</f>
        <v>0</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440</v>
      </c>
      <c r="J25" s="187">
        <f>'Subcases Monthly'!H18</f>
        <v>347</v>
      </c>
      <c r="K25" s="187">
        <f>'Subcases Monthly'!I18</f>
        <v>0</v>
      </c>
      <c r="L25" s="187">
        <f>'Subcases Monthly'!J18</f>
        <v>0</v>
      </c>
      <c r="M25" s="187">
        <f>'Subcases Monthly'!K18</f>
        <v>0</v>
      </c>
      <c r="N25" s="187">
        <f>'Subcases Monthly'!L18</f>
        <v>0</v>
      </c>
      <c r="O25" s="187">
        <f>'Subcases Monthly'!M18</f>
        <v>0</v>
      </c>
      <c r="P25" s="187">
        <f>'Subcases Monthly'!N18</f>
        <v>0</v>
      </c>
      <c r="Q25" s="187">
        <f>'Subcases Monthly'!O18</f>
        <v>0</v>
      </c>
      <c r="R25" s="187">
        <f>'Subcases Monthly'!P18</f>
        <v>0</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10</v>
      </c>
      <c r="J26" s="187">
        <f>'Subcases Monthly'!H19</f>
        <v>24</v>
      </c>
      <c r="K26" s="187">
        <f>'Subcases Monthly'!I19</f>
        <v>0</v>
      </c>
      <c r="L26" s="187">
        <f>'Subcases Monthly'!J19</f>
        <v>0</v>
      </c>
      <c r="M26" s="187">
        <f>'Subcases Monthly'!K19</f>
        <v>0</v>
      </c>
      <c r="N26" s="187">
        <f>'Subcases Monthly'!L19</f>
        <v>0</v>
      </c>
      <c r="O26" s="187">
        <f>'Subcases Monthly'!M19</f>
        <v>0</v>
      </c>
      <c r="P26" s="187">
        <f>'Subcases Monthly'!N19</f>
        <v>0</v>
      </c>
      <c r="Q26" s="187">
        <f>'Subcases Monthly'!O19</f>
        <v>0</v>
      </c>
      <c r="R26" s="187">
        <f>'Subcases Monthly'!P19</f>
        <v>0</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134</v>
      </c>
      <c r="J27" s="187">
        <f>'Subcases Monthly'!H20</f>
        <v>137</v>
      </c>
      <c r="K27" s="187">
        <f>'Subcases Monthly'!I20</f>
        <v>0</v>
      </c>
      <c r="L27" s="187">
        <f>'Subcases Monthly'!J20</f>
        <v>0</v>
      </c>
      <c r="M27" s="187">
        <f>'Subcases Monthly'!K20</f>
        <v>0</v>
      </c>
      <c r="N27" s="187">
        <f>'Subcases Monthly'!L20</f>
        <v>0</v>
      </c>
      <c r="O27" s="187">
        <f>'Subcases Monthly'!M20</f>
        <v>0</v>
      </c>
      <c r="P27" s="187">
        <f>'Subcases Monthly'!N20</f>
        <v>0</v>
      </c>
      <c r="Q27" s="187">
        <f>'Subcases Monthly'!O20</f>
        <v>0</v>
      </c>
      <c r="R27" s="187">
        <f>'Subcases Monthly'!P20</f>
        <v>0</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1</v>
      </c>
      <c r="J29" s="187">
        <f>'Subcases Monthly'!H22</f>
        <v>0</v>
      </c>
      <c r="K29" s="187">
        <f>'Subcases Monthly'!I22</f>
        <v>0</v>
      </c>
      <c r="L29" s="187">
        <f>'Subcases Monthly'!J22</f>
        <v>0</v>
      </c>
      <c r="M29" s="187">
        <f>'Subcases Monthly'!K22</f>
        <v>0</v>
      </c>
      <c r="N29" s="187">
        <f>'Subcases Monthly'!L22</f>
        <v>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76</v>
      </c>
      <c r="J30" s="187">
        <f>'Subcases Monthly'!H26</f>
        <v>70</v>
      </c>
      <c r="K30" s="187">
        <f>'Subcases Monthly'!I26</f>
        <v>0</v>
      </c>
      <c r="L30" s="187">
        <f>'Subcases Monthly'!J26</f>
        <v>0</v>
      </c>
      <c r="M30" s="187">
        <f>'Subcases Monthly'!K26</f>
        <v>0</v>
      </c>
      <c r="N30" s="187">
        <f>'Subcases Monthly'!L26</f>
        <v>0</v>
      </c>
      <c r="O30" s="187">
        <f>'Subcases Monthly'!M26</f>
        <v>0</v>
      </c>
      <c r="P30" s="187">
        <f>'Subcases Monthly'!N26</f>
        <v>0</v>
      </c>
      <c r="Q30" s="187">
        <f>'Subcases Monthly'!O26</f>
        <v>0</v>
      </c>
      <c r="R30" s="187">
        <f>'Subcases Monthly'!P26</f>
        <v>0</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2</v>
      </c>
      <c r="J31" s="187">
        <f>'Subcases Monthly'!H27</f>
        <v>0</v>
      </c>
      <c r="K31" s="187">
        <f>'Subcases Monthly'!I27</f>
        <v>0</v>
      </c>
      <c r="L31" s="187">
        <f>'Subcases Monthly'!J27</f>
        <v>0</v>
      </c>
      <c r="M31" s="187">
        <f>'Subcases Monthly'!K27</f>
        <v>0</v>
      </c>
      <c r="N31" s="187">
        <f>'Subcases Monthly'!L27</f>
        <v>0</v>
      </c>
      <c r="O31" s="187">
        <f>'Subcases Monthly'!M27</f>
        <v>0</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1</v>
      </c>
      <c r="J32" s="187">
        <f>'Subcases Monthly'!H28</f>
        <v>1</v>
      </c>
      <c r="K32" s="187">
        <f>'Subcases Monthly'!I28</f>
        <v>0</v>
      </c>
      <c r="L32" s="187">
        <f>'Subcases Monthly'!J28</f>
        <v>0</v>
      </c>
      <c r="M32" s="187">
        <f>'Subcases Monthly'!K28</f>
        <v>0</v>
      </c>
      <c r="N32" s="187">
        <f>'Subcases Monthly'!L28</f>
        <v>0</v>
      </c>
      <c r="O32" s="187">
        <f>'Subcases Monthly'!M28</f>
        <v>0</v>
      </c>
      <c r="P32" s="187">
        <f>'Subcases Monthly'!N28</f>
        <v>0</v>
      </c>
      <c r="Q32" s="187">
        <f>'Subcases Monthly'!O28</f>
        <v>0</v>
      </c>
      <c r="R32" s="187">
        <f>'Subcases Monthly'!P28</f>
        <v>0</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179</v>
      </c>
      <c r="J34" s="187">
        <f>'Subcases Monthly'!H33</f>
        <v>158</v>
      </c>
      <c r="K34" s="187">
        <f>'Subcases Monthly'!I33</f>
        <v>0</v>
      </c>
      <c r="L34" s="187">
        <f>'Subcases Monthly'!J33</f>
        <v>0</v>
      </c>
      <c r="M34" s="187">
        <f>'Subcases Monthly'!K33</f>
        <v>0</v>
      </c>
      <c r="N34" s="187">
        <f>'Subcases Monthly'!L33</f>
        <v>0</v>
      </c>
      <c r="O34" s="187">
        <f>'Subcases Monthly'!M33</f>
        <v>0</v>
      </c>
      <c r="P34" s="187">
        <f>'Subcases Monthly'!N33</f>
        <v>0</v>
      </c>
      <c r="Q34" s="187">
        <f>'Subcases Monthly'!O33</f>
        <v>0</v>
      </c>
      <c r="R34" s="187">
        <f>'Subcases Monthly'!P33</f>
        <v>0</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555</v>
      </c>
      <c r="J35" s="187">
        <f>'Subcases Monthly'!H34</f>
        <v>672</v>
      </c>
      <c r="K35" s="187">
        <f>'Subcases Monthly'!I34</f>
        <v>0</v>
      </c>
      <c r="L35" s="187">
        <f>'Subcases Monthly'!J34</f>
        <v>0</v>
      </c>
      <c r="M35" s="187">
        <f>'Subcases Monthly'!K34</f>
        <v>0</v>
      </c>
      <c r="N35" s="187">
        <f>'Subcases Monthly'!L34</f>
        <v>0</v>
      </c>
      <c r="O35" s="187">
        <f>'Subcases Monthly'!M34</f>
        <v>0</v>
      </c>
      <c r="P35" s="187">
        <f>'Subcases Monthly'!N34</f>
        <v>0</v>
      </c>
      <c r="Q35" s="187">
        <f>'Subcases Monthly'!O34</f>
        <v>0</v>
      </c>
      <c r="R35" s="187">
        <f>'Subcases Monthly'!P34</f>
        <v>0</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0</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4</v>
      </c>
      <c r="J37" s="187">
        <f>'Subcases Monthly'!H39</f>
        <v>1</v>
      </c>
      <c r="K37" s="187">
        <f>'Subcases Monthly'!I39</f>
        <v>0</v>
      </c>
      <c r="L37" s="187">
        <f>'Subcases Monthly'!J39</f>
        <v>0</v>
      </c>
      <c r="M37" s="187">
        <f>'Subcases Monthly'!K39</f>
        <v>0</v>
      </c>
      <c r="N37" s="187">
        <f>'Subcases Monthly'!L39</f>
        <v>0</v>
      </c>
      <c r="O37" s="187">
        <f>'Subcases Monthly'!M39</f>
        <v>0</v>
      </c>
      <c r="P37" s="187">
        <f>'Subcases Monthly'!N39</f>
        <v>0</v>
      </c>
      <c r="Q37" s="187">
        <f>'Subcases Monthly'!O39</f>
        <v>0</v>
      </c>
      <c r="R37" s="187">
        <f>'Subcases Monthly'!P39</f>
        <v>0</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2</v>
      </c>
      <c r="J38" s="187">
        <f>'Subcases Monthly'!H40</f>
        <v>0</v>
      </c>
      <c r="K38" s="187">
        <f>'Subcases Monthly'!I40</f>
        <v>0</v>
      </c>
      <c r="L38" s="187">
        <f>'Subcases Monthly'!J40</f>
        <v>0</v>
      </c>
      <c r="M38" s="187">
        <f>'Subcases Monthly'!K40</f>
        <v>0</v>
      </c>
      <c r="N38" s="187">
        <f>'Subcases Monthly'!L40</f>
        <v>0</v>
      </c>
      <c r="O38" s="187">
        <f>'Subcases Monthly'!M40</f>
        <v>0</v>
      </c>
      <c r="P38" s="187">
        <f>'Subcases Monthly'!N40</f>
        <v>0</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97</v>
      </c>
      <c r="J39" s="187">
        <f>'Subcases Monthly'!H41</f>
        <v>88</v>
      </c>
      <c r="K39" s="187">
        <f>'Subcases Monthly'!I41</f>
        <v>0</v>
      </c>
      <c r="L39" s="187">
        <f>'Subcases Monthly'!J41</f>
        <v>0</v>
      </c>
      <c r="M39" s="187">
        <f>'Subcases Monthly'!K41</f>
        <v>0</v>
      </c>
      <c r="N39" s="187">
        <f>'Subcases Monthly'!L41</f>
        <v>0</v>
      </c>
      <c r="O39" s="187">
        <f>'Subcases Monthly'!M41</f>
        <v>0</v>
      </c>
      <c r="P39" s="187">
        <f>'Subcases Monthly'!N41</f>
        <v>0</v>
      </c>
      <c r="Q39" s="187">
        <f>'Subcases Monthly'!O41</f>
        <v>0</v>
      </c>
      <c r="R39" s="187">
        <f>'Subcases Monthly'!P41</f>
        <v>0</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1</v>
      </c>
      <c r="J40" s="187">
        <f>'Subcases Monthly'!H42</f>
        <v>0</v>
      </c>
      <c r="K40" s="187">
        <f>'Subcases Monthly'!I42</f>
        <v>0</v>
      </c>
      <c r="L40" s="187">
        <f>'Subcases Monthly'!J42</f>
        <v>0</v>
      </c>
      <c r="M40" s="187">
        <f>'Subcases Monthly'!K42</f>
        <v>0</v>
      </c>
      <c r="N40" s="187">
        <f>'Subcases Monthly'!L42</f>
        <v>0</v>
      </c>
      <c r="O40" s="187">
        <f>'Subcases Monthly'!M42</f>
        <v>0</v>
      </c>
      <c r="P40" s="187">
        <f>'Subcases Monthly'!N42</f>
        <v>0</v>
      </c>
      <c r="Q40" s="187">
        <f>'Subcases Monthly'!O42</f>
        <v>0</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47</v>
      </c>
      <c r="J41" s="187">
        <f>'Subcases Monthly'!H43</f>
        <v>39</v>
      </c>
      <c r="K41" s="187">
        <f>'Subcases Monthly'!I43</f>
        <v>0</v>
      </c>
      <c r="L41" s="187">
        <f>'Subcases Monthly'!J43</f>
        <v>0</v>
      </c>
      <c r="M41" s="187">
        <f>'Subcases Monthly'!K43</f>
        <v>0</v>
      </c>
      <c r="N41" s="187">
        <f>'Subcases Monthly'!L43</f>
        <v>0</v>
      </c>
      <c r="O41" s="187">
        <f>'Subcases Monthly'!M43</f>
        <v>0</v>
      </c>
      <c r="P41" s="187">
        <f>'Subcases Monthly'!N43</f>
        <v>0</v>
      </c>
      <c r="Q41" s="187">
        <f>'Subcases Monthly'!O43</f>
        <v>0</v>
      </c>
      <c r="R41" s="187">
        <f>'Subcases Monthly'!P43</f>
        <v>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0</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31</v>
      </c>
      <c r="J43" s="187">
        <f>'Subcases Monthly'!H45</f>
        <v>27</v>
      </c>
      <c r="K43" s="187">
        <f>'Subcases Monthly'!I45</f>
        <v>0</v>
      </c>
      <c r="L43" s="187">
        <f>'Subcases Monthly'!J45</f>
        <v>0</v>
      </c>
      <c r="M43" s="187">
        <f>'Subcases Monthly'!K45</f>
        <v>0</v>
      </c>
      <c r="N43" s="187">
        <f>'Subcases Monthly'!L45</f>
        <v>0</v>
      </c>
      <c r="O43" s="187">
        <f>'Subcases Monthly'!M45</f>
        <v>0</v>
      </c>
      <c r="P43" s="187">
        <f>'Subcases Monthly'!N45</f>
        <v>0</v>
      </c>
      <c r="Q43" s="187">
        <f>'Subcases Monthly'!O45</f>
        <v>0</v>
      </c>
      <c r="R43" s="187">
        <f>'Subcases Monthly'!P45</f>
        <v>0</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5</v>
      </c>
      <c r="J44" s="187">
        <f>'Subcases Monthly'!H46</f>
        <v>2</v>
      </c>
      <c r="K44" s="187">
        <f>'Subcases Monthly'!I46</f>
        <v>0</v>
      </c>
      <c r="L44" s="187">
        <f>'Subcases Monthly'!J46</f>
        <v>0</v>
      </c>
      <c r="M44" s="187">
        <f>'Subcases Monthly'!K46</f>
        <v>0</v>
      </c>
      <c r="N44" s="187">
        <f>'Subcases Monthly'!L46</f>
        <v>0</v>
      </c>
      <c r="O44" s="187">
        <f>'Subcases Monthly'!M46</f>
        <v>0</v>
      </c>
      <c r="P44" s="187">
        <f>'Subcases Monthly'!N46</f>
        <v>0</v>
      </c>
      <c r="Q44" s="187">
        <f>'Subcases Monthly'!O46</f>
        <v>0</v>
      </c>
      <c r="R44" s="187">
        <f>'Subcases Monthly'!P46</f>
        <v>0</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21</v>
      </c>
      <c r="J45" s="187">
        <f>'Subcases Monthly'!H47</f>
        <v>25</v>
      </c>
      <c r="K45" s="187">
        <f>'Subcases Monthly'!I47</f>
        <v>0</v>
      </c>
      <c r="L45" s="187">
        <f>'Subcases Monthly'!J47</f>
        <v>0</v>
      </c>
      <c r="M45" s="187">
        <f>'Subcases Monthly'!K47</f>
        <v>0</v>
      </c>
      <c r="N45" s="187">
        <f>'Subcases Monthly'!L47</f>
        <v>0</v>
      </c>
      <c r="O45" s="187">
        <f>'Subcases Monthly'!M47</f>
        <v>0</v>
      </c>
      <c r="P45" s="187">
        <f>'Subcases Monthly'!N47</f>
        <v>0</v>
      </c>
      <c r="Q45" s="187">
        <f>'Subcases Monthly'!O47</f>
        <v>0</v>
      </c>
      <c r="R45" s="187">
        <f>'Subcases Monthly'!P47</f>
        <v>0</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12</v>
      </c>
      <c r="J46" s="187">
        <f>'Subcases Monthly'!H48</f>
        <v>12</v>
      </c>
      <c r="K46" s="187">
        <f>'Subcases Monthly'!I48</f>
        <v>0</v>
      </c>
      <c r="L46" s="187">
        <f>'Subcases Monthly'!J48</f>
        <v>0</v>
      </c>
      <c r="M46" s="187">
        <f>'Subcases Monthly'!K48</f>
        <v>0</v>
      </c>
      <c r="N46" s="187">
        <f>'Subcases Monthly'!L48</f>
        <v>0</v>
      </c>
      <c r="O46" s="187">
        <f>'Subcases Monthly'!M48</f>
        <v>0</v>
      </c>
      <c r="P46" s="187">
        <f>'Subcases Monthly'!N48</f>
        <v>0</v>
      </c>
      <c r="Q46" s="187">
        <f>'Subcases Monthly'!O48</f>
        <v>0</v>
      </c>
      <c r="R46" s="187">
        <f>'Subcases Monthly'!P48</f>
        <v>0</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18</v>
      </c>
      <c r="J47" s="187">
        <f>'Subcases Monthly'!H49</f>
        <v>18</v>
      </c>
      <c r="K47" s="187">
        <f>'Subcases Monthly'!I49</f>
        <v>0</v>
      </c>
      <c r="L47" s="187">
        <f>'Subcases Monthly'!J49</f>
        <v>0</v>
      </c>
      <c r="M47" s="187">
        <f>'Subcases Monthly'!K49</f>
        <v>0</v>
      </c>
      <c r="N47" s="187">
        <f>'Subcases Monthly'!L49</f>
        <v>0</v>
      </c>
      <c r="O47" s="187">
        <f>'Subcases Monthly'!M49</f>
        <v>0</v>
      </c>
      <c r="P47" s="187">
        <f>'Subcases Monthly'!N49</f>
        <v>0</v>
      </c>
      <c r="Q47" s="187">
        <f>'Subcases Monthly'!O49</f>
        <v>0</v>
      </c>
      <c r="R47" s="187">
        <f>'Subcases Monthly'!P49</f>
        <v>0</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37</v>
      </c>
      <c r="J48" s="187">
        <f>'Subcases Monthly'!H50</f>
        <v>38</v>
      </c>
      <c r="K48" s="187">
        <f>'Subcases Monthly'!I50</f>
        <v>0</v>
      </c>
      <c r="L48" s="187">
        <f>'Subcases Monthly'!J50</f>
        <v>0</v>
      </c>
      <c r="M48" s="187">
        <f>'Subcases Monthly'!K50</f>
        <v>0</v>
      </c>
      <c r="N48" s="187">
        <f>'Subcases Monthly'!L50</f>
        <v>0</v>
      </c>
      <c r="O48" s="187">
        <f>'Subcases Monthly'!M50</f>
        <v>0</v>
      </c>
      <c r="P48" s="187">
        <f>'Subcases Monthly'!N50</f>
        <v>0</v>
      </c>
      <c r="Q48" s="187">
        <f>'Subcases Monthly'!O50</f>
        <v>0</v>
      </c>
      <c r="R48" s="187">
        <f>'Subcases Monthly'!P50</f>
        <v>0</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0</v>
      </c>
      <c r="O50" s="187">
        <f>'Subcases Monthly'!M52</f>
        <v>0</v>
      </c>
      <c r="P50" s="187">
        <f>'Subcases Monthly'!N52</f>
        <v>0</v>
      </c>
      <c r="Q50" s="187">
        <f>'Subcases Monthly'!O52</f>
        <v>0</v>
      </c>
      <c r="R50" s="187">
        <f>'Subcases Monthly'!P52</f>
        <v>0</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7</v>
      </c>
      <c r="J52" s="187">
        <f>'Subcases Monthly'!H54</f>
        <v>12</v>
      </c>
      <c r="K52" s="187">
        <f>'Subcases Monthly'!I54</f>
        <v>0</v>
      </c>
      <c r="L52" s="187">
        <f>'Subcases Monthly'!J54</f>
        <v>0</v>
      </c>
      <c r="M52" s="187">
        <f>'Subcases Monthly'!K54</f>
        <v>0</v>
      </c>
      <c r="N52" s="187">
        <f>'Subcases Monthly'!L54</f>
        <v>0</v>
      </c>
      <c r="O52" s="187">
        <f>'Subcases Monthly'!M54</f>
        <v>0</v>
      </c>
      <c r="P52" s="187">
        <f>'Subcases Monthly'!N54</f>
        <v>0</v>
      </c>
      <c r="Q52" s="187">
        <f>'Subcases Monthly'!O54</f>
        <v>0</v>
      </c>
      <c r="R52" s="187">
        <f>'Subcases Monthly'!P54</f>
        <v>0</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1</v>
      </c>
      <c r="J53" s="187">
        <f>'Subcases Monthly'!H55</f>
        <v>0</v>
      </c>
      <c r="K53" s="187">
        <f>'Subcases Monthly'!I55</f>
        <v>0</v>
      </c>
      <c r="L53" s="187">
        <f>'Subcases Monthly'!J55</f>
        <v>0</v>
      </c>
      <c r="M53" s="187">
        <f>'Subcases Monthly'!K55</f>
        <v>0</v>
      </c>
      <c r="N53" s="187">
        <f>'Subcases Monthly'!L55</f>
        <v>0</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1</v>
      </c>
      <c r="J56" s="187">
        <f>'Subcases Monthly'!H58</f>
        <v>0</v>
      </c>
      <c r="K56" s="187">
        <f>'Subcases Monthly'!I58</f>
        <v>0</v>
      </c>
      <c r="L56" s="187">
        <f>'Subcases Monthly'!J58</f>
        <v>0</v>
      </c>
      <c r="M56" s="187">
        <f>'Subcases Monthly'!K58</f>
        <v>0</v>
      </c>
      <c r="N56" s="187">
        <f>'Subcases Monthly'!L58</f>
        <v>0</v>
      </c>
      <c r="O56" s="187">
        <f>'Subcases Monthly'!M58</f>
        <v>0</v>
      </c>
      <c r="P56" s="187">
        <f>'Subcases Monthly'!N58</f>
        <v>0</v>
      </c>
      <c r="Q56" s="187">
        <f>'Subcases Monthly'!O58</f>
        <v>0</v>
      </c>
      <c r="R56" s="187">
        <f>'Subcases Monthly'!P58</f>
        <v>0</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512</v>
      </c>
      <c r="J58" s="187">
        <f>'Subcases Monthly'!H63</f>
        <v>479</v>
      </c>
      <c r="K58" s="187">
        <f>'Subcases Monthly'!I63</f>
        <v>0</v>
      </c>
      <c r="L58" s="187">
        <f>'Subcases Monthly'!J63</f>
        <v>0</v>
      </c>
      <c r="M58" s="187">
        <f>'Subcases Monthly'!K63</f>
        <v>0</v>
      </c>
      <c r="N58" s="187">
        <f>'Subcases Monthly'!L63</f>
        <v>0</v>
      </c>
      <c r="O58" s="187">
        <f>'Subcases Monthly'!M63</f>
        <v>0</v>
      </c>
      <c r="P58" s="187">
        <f>'Subcases Monthly'!N63</f>
        <v>0</v>
      </c>
      <c r="Q58" s="187">
        <f>'Subcases Monthly'!O63</f>
        <v>0</v>
      </c>
      <c r="R58" s="187">
        <f>'Subcases Monthly'!P63</f>
        <v>0</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157</v>
      </c>
      <c r="J59" s="187">
        <f>'Subcases Monthly'!H64</f>
        <v>170</v>
      </c>
      <c r="K59" s="187">
        <f>'Subcases Monthly'!I64</f>
        <v>0</v>
      </c>
      <c r="L59" s="187">
        <f>'Subcases Monthly'!J64</f>
        <v>0</v>
      </c>
      <c r="M59" s="187">
        <f>'Subcases Monthly'!K64</f>
        <v>0</v>
      </c>
      <c r="N59" s="187">
        <f>'Subcases Monthly'!L64</f>
        <v>0</v>
      </c>
      <c r="O59" s="187">
        <f>'Subcases Monthly'!M64</f>
        <v>0</v>
      </c>
      <c r="P59" s="187">
        <f>'Subcases Monthly'!N64</f>
        <v>0</v>
      </c>
      <c r="Q59" s="187">
        <f>'Subcases Monthly'!O64</f>
        <v>0</v>
      </c>
      <c r="R59" s="187">
        <f>'Subcases Monthly'!P64</f>
        <v>0</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150</v>
      </c>
      <c r="J60" s="187">
        <f>'Subcases Monthly'!H65</f>
        <v>197</v>
      </c>
      <c r="K60" s="187">
        <f>'Subcases Monthly'!I65</f>
        <v>0</v>
      </c>
      <c r="L60" s="187">
        <f>'Subcases Monthly'!J65</f>
        <v>0</v>
      </c>
      <c r="M60" s="187">
        <f>'Subcases Monthly'!K65</f>
        <v>0</v>
      </c>
      <c r="N60" s="187">
        <f>'Subcases Monthly'!L65</f>
        <v>0</v>
      </c>
      <c r="O60" s="187">
        <f>'Subcases Monthly'!M65</f>
        <v>0</v>
      </c>
      <c r="P60" s="187">
        <f>'Subcases Monthly'!N65</f>
        <v>0</v>
      </c>
      <c r="Q60" s="187">
        <f>'Subcases Monthly'!O65</f>
        <v>0</v>
      </c>
      <c r="R60" s="187">
        <f>'Subcases Monthly'!P65</f>
        <v>0</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61</v>
      </c>
      <c r="J61" s="187">
        <f>'Subcases Monthly'!H66</f>
        <v>70</v>
      </c>
      <c r="K61" s="187">
        <f>'Subcases Monthly'!I66</f>
        <v>0</v>
      </c>
      <c r="L61" s="187">
        <f>'Subcases Monthly'!J66</f>
        <v>0</v>
      </c>
      <c r="M61" s="187">
        <f>'Subcases Monthly'!K66</f>
        <v>0</v>
      </c>
      <c r="N61" s="187">
        <f>'Subcases Monthly'!L66</f>
        <v>0</v>
      </c>
      <c r="O61" s="187">
        <f>'Subcases Monthly'!M66</f>
        <v>0</v>
      </c>
      <c r="P61" s="187">
        <f>'Subcases Monthly'!N66</f>
        <v>0</v>
      </c>
      <c r="Q61" s="187">
        <f>'Subcases Monthly'!O66</f>
        <v>0</v>
      </c>
      <c r="R61" s="187">
        <f>'Subcases Monthly'!P66</f>
        <v>0</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45</v>
      </c>
      <c r="J62" s="187">
        <f>'Subcases Monthly'!H67</f>
        <v>37</v>
      </c>
      <c r="K62" s="187">
        <f>'Subcases Monthly'!I67</f>
        <v>0</v>
      </c>
      <c r="L62" s="187">
        <f>'Subcases Monthly'!J67</f>
        <v>0</v>
      </c>
      <c r="M62" s="187">
        <f>'Subcases Monthly'!K67</f>
        <v>0</v>
      </c>
      <c r="N62" s="187">
        <f>'Subcases Monthly'!L67</f>
        <v>0</v>
      </c>
      <c r="O62" s="187">
        <f>'Subcases Monthly'!M67</f>
        <v>0</v>
      </c>
      <c r="P62" s="187">
        <f>'Subcases Monthly'!N67</f>
        <v>0</v>
      </c>
      <c r="Q62" s="187">
        <f>'Subcases Monthly'!O67</f>
        <v>0</v>
      </c>
      <c r="R62" s="187">
        <f>'Subcases Monthly'!P67</f>
        <v>0</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4</v>
      </c>
      <c r="J63" s="187">
        <f>'Subcases Monthly'!H68</f>
        <v>15</v>
      </c>
      <c r="K63" s="187">
        <f>'Subcases Monthly'!I68</f>
        <v>0</v>
      </c>
      <c r="L63" s="187">
        <f>'Subcases Monthly'!J68</f>
        <v>0</v>
      </c>
      <c r="M63" s="187">
        <f>'Subcases Monthly'!K68</f>
        <v>0</v>
      </c>
      <c r="N63" s="187">
        <f>'Subcases Monthly'!L68</f>
        <v>0</v>
      </c>
      <c r="O63" s="187">
        <f>'Subcases Monthly'!M68</f>
        <v>0</v>
      </c>
      <c r="P63" s="187">
        <f>'Subcases Monthly'!N68</f>
        <v>0</v>
      </c>
      <c r="Q63" s="187">
        <f>'Subcases Monthly'!O68</f>
        <v>0</v>
      </c>
      <c r="R63" s="187">
        <f>'Subcases Monthly'!P68</f>
        <v>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243</v>
      </c>
      <c r="J64" s="187">
        <f>'Subcases Monthly'!H69</f>
        <v>343</v>
      </c>
      <c r="K64" s="187">
        <f>'Subcases Monthly'!I69</f>
        <v>0</v>
      </c>
      <c r="L64" s="187">
        <f>'Subcases Monthly'!J69</f>
        <v>0</v>
      </c>
      <c r="M64" s="187">
        <f>'Subcases Monthly'!K69</f>
        <v>0</v>
      </c>
      <c r="N64" s="187">
        <f>'Subcases Monthly'!L69</f>
        <v>0</v>
      </c>
      <c r="O64" s="187">
        <f>'Subcases Monthly'!M69</f>
        <v>0</v>
      </c>
      <c r="P64" s="187">
        <f>'Subcases Monthly'!N69</f>
        <v>0</v>
      </c>
      <c r="Q64" s="187">
        <f>'Subcases Monthly'!O69</f>
        <v>0</v>
      </c>
      <c r="R64" s="187">
        <f>'Subcases Monthly'!P69</f>
        <v>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1</v>
      </c>
      <c r="J65" s="187">
        <f>'Subcases Monthly'!H70</f>
        <v>11</v>
      </c>
      <c r="K65" s="187">
        <f>'Subcases Monthly'!I70</f>
        <v>0</v>
      </c>
      <c r="L65" s="187">
        <f>'Subcases Monthly'!J70</f>
        <v>0</v>
      </c>
      <c r="M65" s="187">
        <f>'Subcases Monthly'!K70</f>
        <v>0</v>
      </c>
      <c r="N65" s="187">
        <f>'Subcases Monthly'!L70</f>
        <v>0</v>
      </c>
      <c r="O65" s="187">
        <f>'Subcases Monthly'!M70</f>
        <v>0</v>
      </c>
      <c r="P65" s="187">
        <f>'Subcases Monthly'!N70</f>
        <v>0</v>
      </c>
      <c r="Q65" s="187">
        <f>'Subcases Monthly'!O70</f>
        <v>0</v>
      </c>
      <c r="R65" s="187">
        <f>'Subcases Monthly'!P70</f>
        <v>0</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1</v>
      </c>
      <c r="K66" s="187">
        <f>'Subcases Monthly'!I71</f>
        <v>0</v>
      </c>
      <c r="L66" s="187">
        <f>'Subcases Monthly'!J71</f>
        <v>0</v>
      </c>
      <c r="M66" s="187">
        <f>'Subcases Monthly'!K71</f>
        <v>0</v>
      </c>
      <c r="N66" s="187">
        <f>'Subcases Monthly'!L71</f>
        <v>0</v>
      </c>
      <c r="O66" s="187">
        <f>'Subcases Monthly'!M71</f>
        <v>0</v>
      </c>
      <c r="P66" s="187">
        <f>'Subcases Monthly'!N71</f>
        <v>0</v>
      </c>
      <c r="Q66" s="187">
        <f>'Subcases Monthly'!O71</f>
        <v>0</v>
      </c>
      <c r="R66" s="187">
        <f>'Subcases Monthly'!P71</f>
        <v>0</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172</v>
      </c>
      <c r="J69" s="187">
        <f>'Subcases Monthly'!H77</f>
        <v>194</v>
      </c>
      <c r="K69" s="187">
        <f>'Subcases Monthly'!I77</f>
        <v>0</v>
      </c>
      <c r="L69" s="187">
        <f>'Subcases Monthly'!J77</f>
        <v>0</v>
      </c>
      <c r="M69" s="187">
        <f>'Subcases Monthly'!K77</f>
        <v>0</v>
      </c>
      <c r="N69" s="187">
        <f>'Subcases Monthly'!L77</f>
        <v>0</v>
      </c>
      <c r="O69" s="187">
        <f>'Subcases Monthly'!M77</f>
        <v>0</v>
      </c>
      <c r="P69" s="187">
        <f>'Subcases Monthly'!N77</f>
        <v>0</v>
      </c>
      <c r="Q69" s="187">
        <f>'Subcases Monthly'!O77</f>
        <v>0</v>
      </c>
      <c r="R69" s="187">
        <f>'Subcases Monthly'!P77</f>
        <v>0</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18</v>
      </c>
      <c r="J70" s="187">
        <f>'Subcases Monthly'!H78</f>
        <v>33</v>
      </c>
      <c r="K70" s="187">
        <f>'Subcases Monthly'!I78</f>
        <v>0</v>
      </c>
      <c r="L70" s="187">
        <f>'Subcases Monthly'!J78</f>
        <v>0</v>
      </c>
      <c r="M70" s="187">
        <f>'Subcases Monthly'!K78</f>
        <v>0</v>
      </c>
      <c r="N70" s="187">
        <f>'Subcases Monthly'!L78</f>
        <v>0</v>
      </c>
      <c r="O70" s="187">
        <f>'Subcases Monthly'!M78</f>
        <v>0</v>
      </c>
      <c r="P70" s="187">
        <f>'Subcases Monthly'!N78</f>
        <v>0</v>
      </c>
      <c r="Q70" s="187">
        <f>'Subcases Monthly'!O78</f>
        <v>0</v>
      </c>
      <c r="R70" s="187">
        <f>'Subcases Monthly'!P78</f>
        <v>0</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1</v>
      </c>
      <c r="J71" s="187">
        <f>'Subcases Monthly'!H79</f>
        <v>0</v>
      </c>
      <c r="K71" s="187">
        <f>'Subcases Monthly'!I79</f>
        <v>0</v>
      </c>
      <c r="L71" s="187">
        <f>'Subcases Monthly'!J79</f>
        <v>0</v>
      </c>
      <c r="M71" s="187">
        <f>'Subcases Monthly'!K79</f>
        <v>0</v>
      </c>
      <c r="N71" s="187">
        <f>'Subcases Monthly'!L79</f>
        <v>0</v>
      </c>
      <c r="O71" s="187">
        <f>'Subcases Monthly'!M79</f>
        <v>0</v>
      </c>
      <c r="P71" s="187">
        <f>'Subcases Monthly'!N79</f>
        <v>0</v>
      </c>
      <c r="Q71" s="187">
        <f>'Subcases Monthly'!O79</f>
        <v>0</v>
      </c>
      <c r="R71" s="187">
        <f>'Subcases Monthly'!P79</f>
        <v>0</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55</v>
      </c>
      <c r="J72" s="187">
        <f>'Subcases Monthly'!H80</f>
        <v>64</v>
      </c>
      <c r="K72" s="187">
        <f>'Subcases Monthly'!I80</f>
        <v>0</v>
      </c>
      <c r="L72" s="187">
        <f>'Subcases Monthly'!J80</f>
        <v>0</v>
      </c>
      <c r="M72" s="187">
        <f>'Subcases Monthly'!K80</f>
        <v>0</v>
      </c>
      <c r="N72" s="187">
        <f>'Subcases Monthly'!L80</f>
        <v>0</v>
      </c>
      <c r="O72" s="187">
        <f>'Subcases Monthly'!M80</f>
        <v>0</v>
      </c>
      <c r="P72" s="187">
        <f>'Subcases Monthly'!N80</f>
        <v>0</v>
      </c>
      <c r="Q72" s="187">
        <f>'Subcases Monthly'!O80</f>
        <v>0</v>
      </c>
      <c r="R72" s="187">
        <f>'Subcases Monthly'!P80</f>
        <v>0</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16</v>
      </c>
      <c r="J73" s="187">
        <f>'Subcases Monthly'!H81</f>
        <v>12</v>
      </c>
      <c r="K73" s="187">
        <f>'Subcases Monthly'!I81</f>
        <v>0</v>
      </c>
      <c r="L73" s="187">
        <f>'Subcases Monthly'!J81</f>
        <v>0</v>
      </c>
      <c r="M73" s="187">
        <f>'Subcases Monthly'!K81</f>
        <v>0</v>
      </c>
      <c r="N73" s="187">
        <f>'Subcases Monthly'!L81</f>
        <v>0</v>
      </c>
      <c r="O73" s="187">
        <f>'Subcases Monthly'!M81</f>
        <v>0</v>
      </c>
      <c r="P73" s="187">
        <f>'Subcases Monthly'!N81</f>
        <v>0</v>
      </c>
      <c r="Q73" s="187">
        <f>'Subcases Monthly'!O81</f>
        <v>0</v>
      </c>
      <c r="R73" s="187">
        <f>'Subcases Monthly'!P81</f>
        <v>0</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11</v>
      </c>
      <c r="J74" s="187">
        <f>'Subcases Monthly'!H82</f>
        <v>12</v>
      </c>
      <c r="K74" s="187">
        <f>'Subcases Monthly'!I82</f>
        <v>0</v>
      </c>
      <c r="L74" s="187">
        <f>'Subcases Monthly'!J82</f>
        <v>0</v>
      </c>
      <c r="M74" s="187">
        <f>'Subcases Monthly'!K82</f>
        <v>0</v>
      </c>
      <c r="N74" s="187">
        <f>'Subcases Monthly'!L82</f>
        <v>0</v>
      </c>
      <c r="O74" s="187">
        <f>'Subcases Monthly'!M82</f>
        <v>0</v>
      </c>
      <c r="P74" s="187">
        <f>'Subcases Monthly'!N82</f>
        <v>0</v>
      </c>
      <c r="Q74" s="187">
        <f>'Subcases Monthly'!O82</f>
        <v>0</v>
      </c>
      <c r="R74" s="187">
        <f>'Subcases Monthly'!P82</f>
        <v>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2</v>
      </c>
      <c r="J76" s="187">
        <f>'Subcases Monthly'!H84</f>
        <v>6</v>
      </c>
      <c r="K76" s="187">
        <f>'Subcases Monthly'!I84</f>
        <v>0</v>
      </c>
      <c r="L76" s="187">
        <f>'Subcases Monthly'!J84</f>
        <v>0</v>
      </c>
      <c r="M76" s="187">
        <f>'Subcases Monthly'!K84</f>
        <v>0</v>
      </c>
      <c r="N76" s="187">
        <f>'Subcases Monthly'!L84</f>
        <v>0</v>
      </c>
      <c r="O76" s="187">
        <f>'Subcases Monthly'!M84</f>
        <v>0</v>
      </c>
      <c r="P76" s="187">
        <f>'Subcases Monthly'!N84</f>
        <v>0</v>
      </c>
      <c r="Q76" s="187">
        <f>'Subcases Monthly'!O84</f>
        <v>0</v>
      </c>
      <c r="R76" s="187">
        <f>'Subcases Monthly'!P84</f>
        <v>0</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106</v>
      </c>
      <c r="J77" s="187">
        <f>'Subcases Monthly'!H85</f>
        <v>150</v>
      </c>
      <c r="K77" s="187">
        <f>'Subcases Monthly'!I85</f>
        <v>0</v>
      </c>
      <c r="L77" s="187">
        <f>'Subcases Monthly'!J85</f>
        <v>0</v>
      </c>
      <c r="M77" s="187">
        <f>'Subcases Monthly'!K85</f>
        <v>0</v>
      </c>
      <c r="N77" s="187">
        <f>'Subcases Monthly'!L85</f>
        <v>0</v>
      </c>
      <c r="O77" s="187">
        <f>'Subcases Monthly'!M85</f>
        <v>0</v>
      </c>
      <c r="P77" s="187">
        <f>'Subcases Monthly'!N85</f>
        <v>0</v>
      </c>
      <c r="Q77" s="187">
        <f>'Subcases Monthly'!O85</f>
        <v>0</v>
      </c>
      <c r="R77" s="187">
        <f>'Subcases Monthly'!P85</f>
        <v>0</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145</v>
      </c>
      <c r="J78" s="187">
        <f>'Subcases Monthly'!H86</f>
        <v>120</v>
      </c>
      <c r="K78" s="187">
        <f>'Subcases Monthly'!I86</f>
        <v>0</v>
      </c>
      <c r="L78" s="187">
        <f>'Subcases Monthly'!J86</f>
        <v>0</v>
      </c>
      <c r="M78" s="187">
        <f>'Subcases Monthly'!K86</f>
        <v>0</v>
      </c>
      <c r="N78" s="187">
        <f>'Subcases Monthly'!L86</f>
        <v>0</v>
      </c>
      <c r="O78" s="187">
        <f>'Subcases Monthly'!M86</f>
        <v>0</v>
      </c>
      <c r="P78" s="187">
        <f>'Subcases Monthly'!N86</f>
        <v>0</v>
      </c>
      <c r="Q78" s="187">
        <f>'Subcases Monthly'!O86</f>
        <v>0</v>
      </c>
      <c r="R78" s="187">
        <f>'Subcases Monthly'!P86</f>
        <v>0</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31</v>
      </c>
      <c r="J79" s="187">
        <f>'Subcases Monthly'!H87</f>
        <v>45</v>
      </c>
      <c r="K79" s="187">
        <f>'Subcases Monthly'!I87</f>
        <v>0</v>
      </c>
      <c r="L79" s="187">
        <f>'Subcases Monthly'!J87</f>
        <v>0</v>
      </c>
      <c r="M79" s="187">
        <f>'Subcases Monthly'!K87</f>
        <v>0</v>
      </c>
      <c r="N79" s="187">
        <f>'Subcases Monthly'!L87</f>
        <v>0</v>
      </c>
      <c r="O79" s="187">
        <f>'Subcases Monthly'!M87</f>
        <v>0</v>
      </c>
      <c r="P79" s="187">
        <f>'Subcases Monthly'!N87</f>
        <v>0</v>
      </c>
      <c r="Q79" s="187">
        <f>'Subcases Monthly'!O87</f>
        <v>0</v>
      </c>
      <c r="R79" s="187">
        <f>'Subcases Monthly'!P87</f>
        <v>0</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1</v>
      </c>
      <c r="J80" s="187">
        <f>'Subcases Monthly'!H88</f>
        <v>2</v>
      </c>
      <c r="K80" s="187">
        <f>'Subcases Monthly'!I88</f>
        <v>0</v>
      </c>
      <c r="L80" s="187">
        <f>'Subcases Monthly'!J88</f>
        <v>0</v>
      </c>
      <c r="M80" s="187">
        <f>'Subcases Monthly'!K88</f>
        <v>0</v>
      </c>
      <c r="N80" s="187">
        <f>'Subcases Monthly'!L88</f>
        <v>0</v>
      </c>
      <c r="O80" s="187">
        <f>'Subcases Monthly'!M88</f>
        <v>0</v>
      </c>
      <c r="P80" s="187">
        <f>'Subcases Monthly'!N88</f>
        <v>0</v>
      </c>
      <c r="Q80" s="187">
        <f>'Subcases Monthly'!O88</f>
        <v>0</v>
      </c>
      <c r="R80" s="187">
        <f>'Subcases Monthly'!P88</f>
        <v>0</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2</v>
      </c>
      <c r="J81" s="187">
        <f>'Subcases Monthly'!H89</f>
        <v>1</v>
      </c>
      <c r="K81" s="187">
        <f>'Subcases Monthly'!I89</f>
        <v>0</v>
      </c>
      <c r="L81" s="187">
        <f>'Subcases Monthly'!J89</f>
        <v>0</v>
      </c>
      <c r="M81" s="187">
        <f>'Subcases Monthly'!K89</f>
        <v>0</v>
      </c>
      <c r="N81" s="187">
        <f>'Subcases Monthly'!L89</f>
        <v>0</v>
      </c>
      <c r="O81" s="187">
        <f>'Subcases Monthly'!M89</f>
        <v>0</v>
      </c>
      <c r="P81" s="187">
        <f>'Subcases Monthly'!N89</f>
        <v>0</v>
      </c>
      <c r="Q81" s="187">
        <f>'Subcases Monthly'!O89</f>
        <v>0</v>
      </c>
      <c r="R81" s="187">
        <f>'Subcases Monthly'!P89</f>
        <v>0</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0</v>
      </c>
      <c r="M84" s="187">
        <f>'Subcases Monthly'!K92</f>
        <v>0</v>
      </c>
      <c r="N84" s="187">
        <f>'Subcases Monthly'!L92</f>
        <v>0</v>
      </c>
      <c r="O84" s="187">
        <f>'Subcases Monthly'!M92</f>
        <v>0</v>
      </c>
      <c r="P84" s="187">
        <f>'Subcases Monthly'!N92</f>
        <v>0</v>
      </c>
      <c r="Q84" s="187">
        <f>'Subcases Monthly'!O92</f>
        <v>0</v>
      </c>
      <c r="R84" s="187">
        <f>'Subcases Monthly'!P92</f>
        <v>0</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18</v>
      </c>
      <c r="J86" s="187">
        <f>'Subcases Monthly'!H97</f>
        <v>23</v>
      </c>
      <c r="K86" s="187">
        <f>'Subcases Monthly'!I97</f>
        <v>0</v>
      </c>
      <c r="L86" s="187">
        <f>'Subcases Monthly'!J97</f>
        <v>0</v>
      </c>
      <c r="M86" s="187">
        <f>'Subcases Monthly'!K97</f>
        <v>0</v>
      </c>
      <c r="N86" s="187">
        <f>'Subcases Monthly'!L97</f>
        <v>0</v>
      </c>
      <c r="O86" s="187">
        <f>'Subcases Monthly'!M97</f>
        <v>0</v>
      </c>
      <c r="P86" s="187">
        <f>'Subcases Monthly'!N97</f>
        <v>0</v>
      </c>
      <c r="Q86" s="187">
        <f>'Subcases Monthly'!O97</f>
        <v>0</v>
      </c>
      <c r="R86" s="187">
        <f>'Subcases Monthly'!P97</f>
        <v>0</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120</v>
      </c>
      <c r="J87" s="187">
        <f>'Subcases Monthly'!H98</f>
        <v>146</v>
      </c>
      <c r="K87" s="187">
        <f>'Subcases Monthly'!I98</f>
        <v>0</v>
      </c>
      <c r="L87" s="187">
        <f>'Subcases Monthly'!J98</f>
        <v>0</v>
      </c>
      <c r="M87" s="187">
        <f>'Subcases Monthly'!K98</f>
        <v>0</v>
      </c>
      <c r="N87" s="187">
        <f>'Subcases Monthly'!L98</f>
        <v>0</v>
      </c>
      <c r="O87" s="187">
        <f>'Subcases Monthly'!M98</f>
        <v>0</v>
      </c>
      <c r="P87" s="187">
        <f>'Subcases Monthly'!N98</f>
        <v>0</v>
      </c>
      <c r="Q87" s="187">
        <f>'Subcases Monthly'!O98</f>
        <v>0</v>
      </c>
      <c r="R87" s="187">
        <f>'Subcases Monthly'!P98</f>
        <v>0</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136</v>
      </c>
      <c r="J88" s="187">
        <f>'Subcases Monthly'!H99</f>
        <v>149</v>
      </c>
      <c r="K88" s="187">
        <f>'Subcases Monthly'!I99</f>
        <v>0</v>
      </c>
      <c r="L88" s="187">
        <f>'Subcases Monthly'!J99</f>
        <v>0</v>
      </c>
      <c r="M88" s="187">
        <f>'Subcases Monthly'!K99</f>
        <v>0</v>
      </c>
      <c r="N88" s="187">
        <f>'Subcases Monthly'!L99</f>
        <v>0</v>
      </c>
      <c r="O88" s="187">
        <f>'Subcases Monthly'!M99</f>
        <v>0</v>
      </c>
      <c r="P88" s="187">
        <f>'Subcases Monthly'!N99</f>
        <v>0</v>
      </c>
      <c r="Q88" s="187">
        <f>'Subcases Monthly'!O99</f>
        <v>0</v>
      </c>
      <c r="R88" s="187">
        <f>'Subcases Monthly'!P99</f>
        <v>0</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8</v>
      </c>
      <c r="J89" s="187">
        <f>'Subcases Monthly'!H100</f>
        <v>5</v>
      </c>
      <c r="K89" s="187">
        <f>'Subcases Monthly'!I100</f>
        <v>0</v>
      </c>
      <c r="L89" s="187">
        <f>'Subcases Monthly'!J100</f>
        <v>0</v>
      </c>
      <c r="M89" s="187">
        <f>'Subcases Monthly'!K100</f>
        <v>0</v>
      </c>
      <c r="N89" s="187">
        <f>'Subcases Monthly'!L100</f>
        <v>0</v>
      </c>
      <c r="O89" s="187">
        <f>'Subcases Monthly'!M100</f>
        <v>0</v>
      </c>
      <c r="P89" s="187">
        <f>'Subcases Monthly'!N100</f>
        <v>0</v>
      </c>
      <c r="Q89" s="187">
        <f>'Subcases Monthly'!O100</f>
        <v>0</v>
      </c>
      <c r="R89" s="187">
        <f>'Subcases Monthly'!P100</f>
        <v>0</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1</v>
      </c>
      <c r="J90" s="187">
        <f>'Subcases Monthly'!H101</f>
        <v>1</v>
      </c>
      <c r="K90" s="187">
        <f>'Subcases Monthly'!I101</f>
        <v>0</v>
      </c>
      <c r="L90" s="187">
        <f>'Subcases Monthly'!J101</f>
        <v>0</v>
      </c>
      <c r="M90" s="187">
        <f>'Subcases Monthly'!K101</f>
        <v>0</v>
      </c>
      <c r="N90" s="187">
        <f>'Subcases Monthly'!L101</f>
        <v>0</v>
      </c>
      <c r="O90" s="187">
        <f>'Subcases Monthly'!M101</f>
        <v>0</v>
      </c>
      <c r="P90" s="187">
        <f>'Subcases Monthly'!N101</f>
        <v>0</v>
      </c>
      <c r="Q90" s="187">
        <f>'Subcases Monthly'!O101</f>
        <v>0</v>
      </c>
      <c r="R90" s="187">
        <f>'Subcases Monthly'!P101</f>
        <v>0</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11</v>
      </c>
      <c r="J91" s="187">
        <f>'Subcases Monthly'!H102</f>
        <v>17</v>
      </c>
      <c r="K91" s="187">
        <f>'Subcases Monthly'!I102</f>
        <v>0</v>
      </c>
      <c r="L91" s="187">
        <f>'Subcases Monthly'!J102</f>
        <v>0</v>
      </c>
      <c r="M91" s="187">
        <f>'Subcases Monthly'!K102</f>
        <v>0</v>
      </c>
      <c r="N91" s="187">
        <f>'Subcases Monthly'!L102</f>
        <v>0</v>
      </c>
      <c r="O91" s="187">
        <f>'Subcases Monthly'!M102</f>
        <v>0</v>
      </c>
      <c r="P91" s="187">
        <f>'Subcases Monthly'!N102</f>
        <v>0</v>
      </c>
      <c r="Q91" s="187">
        <f>'Subcases Monthly'!O102</f>
        <v>0</v>
      </c>
      <c r="R91" s="187">
        <f>'Subcases Monthly'!P102</f>
        <v>0</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12</v>
      </c>
      <c r="J92" s="187">
        <f>'Subcases Monthly'!H103</f>
        <v>23</v>
      </c>
      <c r="K92" s="187">
        <f>'Subcases Monthly'!I103</f>
        <v>0</v>
      </c>
      <c r="L92" s="187">
        <f>'Subcases Monthly'!J103</f>
        <v>0</v>
      </c>
      <c r="M92" s="187">
        <f>'Subcases Monthly'!K103</f>
        <v>0</v>
      </c>
      <c r="N92" s="187">
        <f>'Subcases Monthly'!L103</f>
        <v>0</v>
      </c>
      <c r="O92" s="187">
        <f>'Subcases Monthly'!M103</f>
        <v>0</v>
      </c>
      <c r="P92" s="187">
        <f>'Subcases Monthly'!N103</f>
        <v>0</v>
      </c>
      <c r="Q92" s="187">
        <f>'Subcases Monthly'!O103</f>
        <v>0</v>
      </c>
      <c r="R92" s="187">
        <f>'Subcases Monthly'!P103</f>
        <v>0</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19</v>
      </c>
      <c r="J93" s="187">
        <f>'Subcases Monthly'!H104</f>
        <v>38</v>
      </c>
      <c r="K93" s="187">
        <f>'Subcases Monthly'!I104</f>
        <v>0</v>
      </c>
      <c r="L93" s="187">
        <f>'Subcases Monthly'!J104</f>
        <v>0</v>
      </c>
      <c r="M93" s="187">
        <f>'Subcases Monthly'!K104</f>
        <v>0</v>
      </c>
      <c r="N93" s="187">
        <f>'Subcases Monthly'!L104</f>
        <v>0</v>
      </c>
      <c r="O93" s="187">
        <f>'Subcases Monthly'!M104</f>
        <v>0</v>
      </c>
      <c r="P93" s="187">
        <f>'Subcases Monthly'!N104</f>
        <v>0</v>
      </c>
      <c r="Q93" s="187">
        <f>'Subcases Monthly'!O104</f>
        <v>0</v>
      </c>
      <c r="R93" s="187">
        <f>'Subcases Monthly'!P104</f>
        <v>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32</v>
      </c>
      <c r="J94" s="187">
        <f>'Subcases Monthly'!H105</f>
        <v>35</v>
      </c>
      <c r="K94" s="187">
        <f>'Subcases Monthly'!I105</f>
        <v>0</v>
      </c>
      <c r="L94" s="187">
        <f>'Subcases Monthly'!J105</f>
        <v>0</v>
      </c>
      <c r="M94" s="187">
        <f>'Subcases Monthly'!K105</f>
        <v>0</v>
      </c>
      <c r="N94" s="187">
        <f>'Subcases Monthly'!L105</f>
        <v>0</v>
      </c>
      <c r="O94" s="187">
        <f>'Subcases Monthly'!M105</f>
        <v>0</v>
      </c>
      <c r="P94" s="187">
        <f>'Subcases Monthly'!N105</f>
        <v>0</v>
      </c>
      <c r="Q94" s="187">
        <f>'Subcases Monthly'!O105</f>
        <v>0</v>
      </c>
      <c r="R94" s="187">
        <f>'Subcases Monthly'!P105</f>
        <v>0</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58</v>
      </c>
      <c r="J95" s="187">
        <f>'Subcases Monthly'!H106</f>
        <v>47</v>
      </c>
      <c r="K95" s="187">
        <f>'Subcases Monthly'!I106</f>
        <v>0</v>
      </c>
      <c r="L95" s="187">
        <f>'Subcases Monthly'!J106</f>
        <v>0</v>
      </c>
      <c r="M95" s="187">
        <f>'Subcases Monthly'!K106</f>
        <v>0</v>
      </c>
      <c r="N95" s="187">
        <f>'Subcases Monthly'!L106</f>
        <v>0</v>
      </c>
      <c r="O95" s="187">
        <f>'Subcases Monthly'!M106</f>
        <v>0</v>
      </c>
      <c r="P95" s="187">
        <f>'Subcases Monthly'!N106</f>
        <v>0</v>
      </c>
      <c r="Q95" s="187">
        <f>'Subcases Monthly'!O106</f>
        <v>0</v>
      </c>
      <c r="R95" s="187">
        <f>'Subcases Monthly'!P106</f>
        <v>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20</v>
      </c>
      <c r="J97" s="187">
        <f>'Subcases Monthly'!H111</f>
        <v>10</v>
      </c>
      <c r="K97" s="187">
        <f>'Subcases Monthly'!I111</f>
        <v>0</v>
      </c>
      <c r="L97" s="187">
        <f>'Subcases Monthly'!J111</f>
        <v>0</v>
      </c>
      <c r="M97" s="187">
        <f>'Subcases Monthly'!K111</f>
        <v>0</v>
      </c>
      <c r="N97" s="187">
        <f>'Subcases Monthly'!L111</f>
        <v>0</v>
      </c>
      <c r="O97" s="187">
        <f>'Subcases Monthly'!M111</f>
        <v>0</v>
      </c>
      <c r="P97" s="187">
        <f>'Subcases Monthly'!N111</f>
        <v>0</v>
      </c>
      <c r="Q97" s="187">
        <f>'Subcases Monthly'!O111</f>
        <v>0</v>
      </c>
      <c r="R97" s="187">
        <f>'Subcases Monthly'!P111</f>
        <v>0</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1</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0</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0</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0</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1</v>
      </c>
      <c r="J101" s="187">
        <f>'Subcases Monthly'!H115</f>
        <v>2</v>
      </c>
      <c r="K101" s="187">
        <f>'Subcases Monthly'!I115</f>
        <v>0</v>
      </c>
      <c r="L101" s="187">
        <f>'Subcases Monthly'!J115</f>
        <v>0</v>
      </c>
      <c r="M101" s="187">
        <f>'Subcases Monthly'!K115</f>
        <v>0</v>
      </c>
      <c r="N101" s="187">
        <f>'Subcases Monthly'!L115</f>
        <v>0</v>
      </c>
      <c r="O101" s="187">
        <f>'Subcases Monthly'!M115</f>
        <v>0</v>
      </c>
      <c r="P101" s="187">
        <f>'Subcases Monthly'!N115</f>
        <v>0</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0</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3766</v>
      </c>
      <c r="J106" s="187">
        <f>'Subcases Monthly'!H123</f>
        <v>4884</v>
      </c>
      <c r="K106" s="187">
        <f>'Subcases Monthly'!I123</f>
        <v>0</v>
      </c>
      <c r="L106" s="187">
        <f>'Subcases Monthly'!J123</f>
        <v>0</v>
      </c>
      <c r="M106" s="187">
        <f>'Subcases Monthly'!K123</f>
        <v>0</v>
      </c>
      <c r="N106" s="187">
        <f>'Subcases Monthly'!L123</f>
        <v>0</v>
      </c>
      <c r="O106" s="187">
        <f>'Subcases Monthly'!M123</f>
        <v>0</v>
      </c>
      <c r="P106" s="187">
        <f>'Subcases Monthly'!N123</f>
        <v>0</v>
      </c>
      <c r="Q106" s="187">
        <f>'Subcases Monthly'!O123</f>
        <v>0</v>
      </c>
      <c r="R106" s="187">
        <f>'Subcases Monthly'!P123</f>
        <v>0</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883</v>
      </c>
      <c r="J107" s="187">
        <f>'Outputs Monthly'!H23</f>
        <v>905</v>
      </c>
      <c r="K107" s="187">
        <f>'Outputs Monthly'!I23</f>
        <v>0</v>
      </c>
      <c r="L107" s="187">
        <f>'Outputs Monthly'!J23</f>
        <v>0</v>
      </c>
      <c r="M107" s="187">
        <f>'Outputs Monthly'!K23</f>
        <v>0</v>
      </c>
      <c r="N107" s="187">
        <f>'Outputs Monthly'!L23</f>
        <v>0</v>
      </c>
      <c r="O107" s="187">
        <f>'Outputs Monthly'!M23</f>
        <v>0</v>
      </c>
      <c r="P107" s="187">
        <f>'Outputs Monthly'!N23</f>
        <v>0</v>
      </c>
      <c r="Q107" s="187">
        <f>'Outputs Monthly'!O23</f>
        <v>0</v>
      </c>
      <c r="R107" s="187">
        <f>'Outputs Monthly'!P23</f>
        <v>0</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89</v>
      </c>
      <c r="J108" s="187">
        <f>'Outputs Monthly'!H24</f>
        <v>111</v>
      </c>
      <c r="K108" s="187">
        <f>'Outputs Monthly'!I24</f>
        <v>0</v>
      </c>
      <c r="L108" s="187">
        <f>'Outputs Monthly'!J24</f>
        <v>0</v>
      </c>
      <c r="M108" s="187">
        <f>'Outputs Monthly'!K24</f>
        <v>0</v>
      </c>
      <c r="N108" s="187">
        <f>'Outputs Monthly'!L24</f>
        <v>0</v>
      </c>
      <c r="O108" s="187">
        <f>'Outputs Monthly'!M24</f>
        <v>0</v>
      </c>
      <c r="P108" s="187">
        <f>'Outputs Monthly'!N24</f>
        <v>0</v>
      </c>
      <c r="Q108" s="187">
        <f>'Outputs Monthly'!O24</f>
        <v>0</v>
      </c>
      <c r="R108" s="187">
        <f>'Outputs Monthly'!P24</f>
        <v>0</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90</v>
      </c>
      <c r="J109" s="187">
        <f>'Outputs Monthly'!H25</f>
        <v>116</v>
      </c>
      <c r="K109" s="187">
        <f>'Outputs Monthly'!I25</f>
        <v>0</v>
      </c>
      <c r="L109" s="187">
        <f>'Outputs Monthly'!J25</f>
        <v>0</v>
      </c>
      <c r="M109" s="187">
        <f>'Outputs Monthly'!K25</f>
        <v>0</v>
      </c>
      <c r="N109" s="187">
        <f>'Outputs Monthly'!L25</f>
        <v>0</v>
      </c>
      <c r="O109" s="187">
        <f>'Outputs Monthly'!M25</f>
        <v>0</v>
      </c>
      <c r="P109" s="187">
        <f>'Outputs Monthly'!N25</f>
        <v>0</v>
      </c>
      <c r="Q109" s="187">
        <f>'Outputs Monthly'!O25</f>
        <v>0</v>
      </c>
      <c r="R109" s="187">
        <f>'Outputs Monthly'!P25</f>
        <v>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97</v>
      </c>
      <c r="J110" s="187">
        <f>'Outputs Monthly'!H26</f>
        <v>196</v>
      </c>
      <c r="K110" s="187">
        <f>'Outputs Monthly'!I26</f>
        <v>0</v>
      </c>
      <c r="L110" s="187">
        <f>'Outputs Monthly'!J26</f>
        <v>0</v>
      </c>
      <c r="M110" s="187">
        <f>'Outputs Monthly'!K26</f>
        <v>0</v>
      </c>
      <c r="N110" s="187">
        <f>'Outputs Monthly'!L26</f>
        <v>0</v>
      </c>
      <c r="O110" s="187">
        <f>'Outputs Monthly'!M26</f>
        <v>0</v>
      </c>
      <c r="P110" s="187">
        <f>'Outputs Monthly'!N26</f>
        <v>0</v>
      </c>
      <c r="Q110" s="187">
        <f>'Outputs Monthly'!O26</f>
        <v>0</v>
      </c>
      <c r="R110" s="187">
        <f>'Outputs Monthly'!P26</f>
        <v>0</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104</v>
      </c>
      <c r="J111" s="187">
        <f>'Outputs Monthly'!H27</f>
        <v>152</v>
      </c>
      <c r="K111" s="187">
        <f>'Outputs Monthly'!I27</f>
        <v>0</v>
      </c>
      <c r="L111" s="187">
        <f>'Outputs Monthly'!J27</f>
        <v>0</v>
      </c>
      <c r="M111" s="187">
        <f>'Outputs Monthly'!K27</f>
        <v>0</v>
      </c>
      <c r="N111" s="187">
        <f>'Outputs Monthly'!L27</f>
        <v>0</v>
      </c>
      <c r="O111" s="187">
        <f>'Outputs Monthly'!M27</f>
        <v>0</v>
      </c>
      <c r="P111" s="187">
        <f>'Outputs Monthly'!N27</f>
        <v>0</v>
      </c>
      <c r="Q111" s="187">
        <f>'Outputs Monthly'!O27</f>
        <v>0</v>
      </c>
      <c r="R111" s="187">
        <f>'Outputs Monthly'!P27</f>
        <v>0</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423</v>
      </c>
      <c r="J112" s="187">
        <f>'Outputs Monthly'!H28</f>
        <v>485</v>
      </c>
      <c r="K112" s="187">
        <f>'Outputs Monthly'!I28</f>
        <v>0</v>
      </c>
      <c r="L112" s="187">
        <f>'Outputs Monthly'!J28</f>
        <v>0</v>
      </c>
      <c r="M112" s="187">
        <f>'Outputs Monthly'!K28</f>
        <v>0</v>
      </c>
      <c r="N112" s="187">
        <f>'Outputs Monthly'!L28</f>
        <v>0</v>
      </c>
      <c r="O112" s="187">
        <f>'Outputs Monthly'!M28</f>
        <v>0</v>
      </c>
      <c r="P112" s="187">
        <f>'Outputs Monthly'!N28</f>
        <v>0</v>
      </c>
      <c r="Q112" s="187">
        <f>'Outputs Monthly'!O28</f>
        <v>0</v>
      </c>
      <c r="R112" s="187">
        <f>'Outputs Monthly'!P28</f>
        <v>0</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227</v>
      </c>
      <c r="J113" s="187">
        <f>'Outputs Monthly'!H29</f>
        <v>277</v>
      </c>
      <c r="K113" s="187">
        <f>'Outputs Monthly'!I29</f>
        <v>0</v>
      </c>
      <c r="L113" s="187">
        <f>'Outputs Monthly'!J29</f>
        <v>0</v>
      </c>
      <c r="M113" s="187">
        <f>'Outputs Monthly'!K29</f>
        <v>0</v>
      </c>
      <c r="N113" s="187">
        <f>'Outputs Monthly'!L29</f>
        <v>0</v>
      </c>
      <c r="O113" s="187">
        <f>'Outputs Monthly'!M29</f>
        <v>0</v>
      </c>
      <c r="P113" s="187">
        <f>'Outputs Monthly'!N29</f>
        <v>0</v>
      </c>
      <c r="Q113" s="187">
        <f>'Outputs Monthly'!O29</f>
        <v>0</v>
      </c>
      <c r="R113" s="187">
        <f>'Outputs Monthly'!P29</f>
        <v>0</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440</v>
      </c>
      <c r="J114" s="187">
        <f>'Outputs Monthly'!H30</f>
        <v>669</v>
      </c>
      <c r="K114" s="187">
        <f>'Outputs Monthly'!I30</f>
        <v>0</v>
      </c>
      <c r="L114" s="187">
        <f>'Outputs Monthly'!J30</f>
        <v>0</v>
      </c>
      <c r="M114" s="187">
        <f>'Outputs Monthly'!K30</f>
        <v>0</v>
      </c>
      <c r="N114" s="187">
        <f>'Outputs Monthly'!L30</f>
        <v>0</v>
      </c>
      <c r="O114" s="187">
        <f>'Outputs Monthly'!M30</f>
        <v>0</v>
      </c>
      <c r="P114" s="187">
        <f>'Outputs Monthly'!N30</f>
        <v>0</v>
      </c>
      <c r="Q114" s="187">
        <f>'Outputs Monthly'!O30</f>
        <v>0</v>
      </c>
      <c r="R114" s="187">
        <f>'Outputs Monthly'!P30</f>
        <v>0</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41</v>
      </c>
      <c r="J115" s="187">
        <f>'Outputs Monthly'!H31</f>
        <v>57</v>
      </c>
      <c r="K115" s="187">
        <f>'Outputs Monthly'!I31</f>
        <v>0</v>
      </c>
      <c r="L115" s="187">
        <f>'Outputs Monthly'!J31</f>
        <v>0</v>
      </c>
      <c r="M115" s="187">
        <f>'Outputs Monthly'!K31</f>
        <v>0</v>
      </c>
      <c r="N115" s="187">
        <f>'Outputs Monthly'!L31</f>
        <v>0</v>
      </c>
      <c r="O115" s="187">
        <f>'Outputs Monthly'!M31</f>
        <v>0</v>
      </c>
      <c r="P115" s="187">
        <f>'Outputs Monthly'!N31</f>
        <v>0</v>
      </c>
      <c r="Q115" s="187">
        <f>'Outputs Monthly'!O31</f>
        <v>0</v>
      </c>
      <c r="R115" s="187">
        <f>'Outputs Monthly'!P31</f>
        <v>0</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20</v>
      </c>
      <c r="J117" s="187">
        <f>'Outputs Monthly'!H36</f>
        <v>21</v>
      </c>
      <c r="K117" s="187">
        <f>'Outputs Monthly'!I36</f>
        <v>0</v>
      </c>
      <c r="L117" s="187">
        <f>'Outputs Monthly'!J36</f>
        <v>0</v>
      </c>
      <c r="M117" s="187">
        <f>'Outputs Monthly'!K36</f>
        <v>0</v>
      </c>
      <c r="N117" s="187">
        <f>'Outputs Monthly'!L36</f>
        <v>0</v>
      </c>
      <c r="O117" s="187">
        <f>'Outputs Monthly'!M36</f>
        <v>0</v>
      </c>
      <c r="P117" s="187">
        <f>'Outputs Monthly'!N36</f>
        <v>0</v>
      </c>
      <c r="Q117" s="187">
        <f>'Outputs Monthly'!O36</f>
        <v>0</v>
      </c>
      <c r="R117" s="187">
        <f>'Outputs Monthly'!P36</f>
        <v>0</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0</v>
      </c>
      <c r="L118" s="187">
        <f>'Outputs Monthly'!J37</f>
        <v>0</v>
      </c>
      <c r="M118" s="187">
        <f>'Outputs Monthly'!K37</f>
        <v>0</v>
      </c>
      <c r="N118" s="187">
        <f>'Outputs Monthly'!L37</f>
        <v>0</v>
      </c>
      <c r="O118" s="187">
        <f>'Outputs Monthly'!M37</f>
        <v>0</v>
      </c>
      <c r="P118" s="187">
        <f>'Outputs Monthly'!N37</f>
        <v>0</v>
      </c>
      <c r="Q118" s="187">
        <f>'Outputs Monthly'!O37</f>
        <v>0</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1</v>
      </c>
      <c r="K119" s="187">
        <f>'Outputs Monthly'!I38</f>
        <v>0</v>
      </c>
      <c r="L119" s="187">
        <f>'Outputs Monthly'!J38</f>
        <v>0</v>
      </c>
      <c r="M119" s="187">
        <f>'Outputs Monthly'!K38</f>
        <v>0</v>
      </c>
      <c r="N119" s="187">
        <f>'Outputs Monthly'!L38</f>
        <v>0</v>
      </c>
      <c r="O119" s="187">
        <f>'Outputs Monthly'!M38</f>
        <v>0</v>
      </c>
      <c r="P119" s="187">
        <f>'Outputs Monthly'!N38</f>
        <v>0</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1</v>
      </c>
      <c r="J120" s="187">
        <f>'Outputs Monthly'!H39</f>
        <v>10</v>
      </c>
      <c r="K120" s="187">
        <f>'Outputs Monthly'!I39</f>
        <v>0</v>
      </c>
      <c r="L120" s="187">
        <f>'Outputs Monthly'!J39</f>
        <v>0</v>
      </c>
      <c r="M120" s="187">
        <f>'Outputs Monthly'!K39</f>
        <v>0</v>
      </c>
      <c r="N120" s="187">
        <f>'Outputs Monthly'!L39</f>
        <v>0</v>
      </c>
      <c r="O120" s="187">
        <f>'Outputs Monthly'!M39</f>
        <v>0</v>
      </c>
      <c r="P120" s="187">
        <f>'Outputs Monthly'!N39</f>
        <v>0</v>
      </c>
      <c r="Q120" s="187">
        <f>'Outputs Monthly'!O39</f>
        <v>0</v>
      </c>
      <c r="R120" s="187">
        <f>'Outputs Monthly'!P39</f>
        <v>0</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4</v>
      </c>
      <c r="J121" s="187">
        <f>'Outputs Monthly'!H40</f>
        <v>5</v>
      </c>
      <c r="K121" s="187">
        <f>'Outputs Monthly'!I40</f>
        <v>0</v>
      </c>
      <c r="L121" s="187">
        <f>'Outputs Monthly'!J40</f>
        <v>0</v>
      </c>
      <c r="M121" s="187">
        <f>'Outputs Monthly'!K40</f>
        <v>0</v>
      </c>
      <c r="N121" s="187">
        <f>'Outputs Monthly'!L40</f>
        <v>0</v>
      </c>
      <c r="O121" s="187">
        <f>'Outputs Monthly'!M40</f>
        <v>0</v>
      </c>
      <c r="P121" s="187">
        <f>'Outputs Monthly'!N40</f>
        <v>0</v>
      </c>
      <c r="Q121" s="187">
        <f>'Outputs Monthly'!O40</f>
        <v>0</v>
      </c>
      <c r="R121" s="187">
        <f>'Outputs Monthly'!P40</f>
        <v>0</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2</v>
      </c>
      <c r="J122" s="187">
        <f>'Outputs Monthly'!H41</f>
        <v>7</v>
      </c>
      <c r="K122" s="187">
        <f>'Outputs Monthly'!I41</f>
        <v>0</v>
      </c>
      <c r="L122" s="187">
        <f>'Outputs Monthly'!J41</f>
        <v>0</v>
      </c>
      <c r="M122" s="187">
        <f>'Outputs Monthly'!K41</f>
        <v>0</v>
      </c>
      <c r="N122" s="187">
        <f>'Outputs Monthly'!L41</f>
        <v>0</v>
      </c>
      <c r="O122" s="187">
        <f>'Outputs Monthly'!M41</f>
        <v>0</v>
      </c>
      <c r="P122" s="187">
        <f>'Outputs Monthly'!N41</f>
        <v>0</v>
      </c>
      <c r="Q122" s="187">
        <f>'Outputs Monthly'!O41</f>
        <v>0</v>
      </c>
      <c r="R122" s="187">
        <f>'Outputs Monthly'!P41</f>
        <v>0</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1</v>
      </c>
      <c r="J123" s="187">
        <f>'Outputs Monthly'!H42</f>
        <v>0</v>
      </c>
      <c r="K123" s="187">
        <f>'Outputs Monthly'!I42</f>
        <v>0</v>
      </c>
      <c r="L123" s="187">
        <f>'Outputs Monthly'!J42</f>
        <v>0</v>
      </c>
      <c r="M123" s="187">
        <f>'Outputs Monthly'!K42</f>
        <v>0</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2</v>
      </c>
      <c r="J124" s="187">
        <f>'Outputs Monthly'!H43</f>
        <v>4</v>
      </c>
      <c r="K124" s="187">
        <f>'Outputs Monthly'!I43</f>
        <v>0</v>
      </c>
      <c r="L124" s="187">
        <f>'Outputs Monthly'!J43</f>
        <v>0</v>
      </c>
      <c r="M124" s="187">
        <f>'Outputs Monthly'!K43</f>
        <v>0</v>
      </c>
      <c r="N124" s="187">
        <f>'Outputs Monthly'!L43</f>
        <v>0</v>
      </c>
      <c r="O124" s="187">
        <f>'Outputs Monthly'!M43</f>
        <v>0</v>
      </c>
      <c r="P124" s="187">
        <f>'Outputs Monthly'!N43</f>
        <v>0</v>
      </c>
      <c r="Q124" s="187">
        <f>'Outputs Monthly'!O43</f>
        <v>0</v>
      </c>
      <c r="R124" s="187">
        <f>'Outputs Monthly'!P43</f>
        <v>0</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1</v>
      </c>
      <c r="K125" s="187">
        <f>'Outputs Monthly'!I44</f>
        <v>0</v>
      </c>
      <c r="L125" s="187">
        <f>'Outputs Monthly'!J44</f>
        <v>0</v>
      </c>
      <c r="M125" s="187">
        <f>'Outputs Monthly'!K44</f>
        <v>0</v>
      </c>
      <c r="N125" s="187">
        <f>'Outputs Monthly'!L44</f>
        <v>0</v>
      </c>
      <c r="O125" s="187">
        <f>'Outputs Monthly'!M44</f>
        <v>0</v>
      </c>
      <c r="P125" s="187">
        <f>'Outputs Monthly'!N44</f>
        <v>0</v>
      </c>
      <c r="Q125" s="187">
        <f>'Outputs Monthly'!O44</f>
        <v>0</v>
      </c>
      <c r="R125" s="187">
        <f>'Outputs Monthly'!P44</f>
        <v>0</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0</v>
      </c>
      <c r="L126" s="187">
        <f>'Outputs Monthly'!J45</f>
        <v>0</v>
      </c>
      <c r="M126" s="187">
        <f>'Outputs Monthly'!K45</f>
        <v>0</v>
      </c>
      <c r="N126" s="187">
        <f>'Outputs Monthly'!L45</f>
        <v>0</v>
      </c>
      <c r="O126" s="187">
        <f>'Outputs Monthly'!M45</f>
        <v>0</v>
      </c>
      <c r="P126" s="187">
        <f>'Outputs Monthly'!N45</f>
        <v>0</v>
      </c>
      <c r="Q126" s="187">
        <f>'Outputs Monthly'!O45</f>
        <v>0</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79766</v>
      </c>
      <c r="H127" s="188">
        <f>'Timeliness Quarterly'!H46</f>
        <v>30585</v>
      </c>
      <c r="I127" s="188">
        <f>'Timeliness Quarterly'!I46</f>
        <v>0</v>
      </c>
      <c r="J127" s="188">
        <f>'Timeliness Quarterly'!J46</f>
        <v>0</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26870</v>
      </c>
      <c r="H128" s="188">
        <f>'Timeliness Quarterly'!H49</f>
        <v>9614</v>
      </c>
      <c r="I128" s="188">
        <f>'Timeliness Quarterly'!I49</f>
        <v>0</v>
      </c>
      <c r="J128" s="188">
        <f>'Timeliness Quarterly'!J49</f>
        <v>0</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6422</v>
      </c>
      <c r="H129" s="188">
        <f>'Timeliness Quarterly'!H52</f>
        <v>2287</v>
      </c>
      <c r="I129" s="188">
        <f>'Timeliness Quarterly'!I52</f>
        <v>0</v>
      </c>
      <c r="J129" s="188">
        <f>'Timeliness Quarterly'!J52</f>
        <v>0</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13946</v>
      </c>
      <c r="H130" s="188">
        <f>'Timeliness Quarterly'!H55</f>
        <v>5107</v>
      </c>
      <c r="I130" s="188">
        <f>'Timeliness Quarterly'!I55</f>
        <v>0</v>
      </c>
      <c r="J130" s="188">
        <f>'Timeliness Quarterly'!J55</f>
        <v>0</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55373</v>
      </c>
      <c r="H131" s="188">
        <f>'Timeliness Quarterly'!H58</f>
        <v>19384</v>
      </c>
      <c r="I131" s="188">
        <f>'Timeliness Quarterly'!I58</f>
        <v>0</v>
      </c>
      <c r="J131" s="188">
        <f>'Timeliness Quarterly'!J58</f>
        <v>0</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54015</v>
      </c>
      <c r="H132" s="188">
        <f>'Timeliness Quarterly'!H61</f>
        <v>20057</v>
      </c>
      <c r="I132" s="188">
        <f>'Timeliness Quarterly'!I61</f>
        <v>0</v>
      </c>
      <c r="J132" s="188">
        <f>'Timeliness Quarterly'!J61</f>
        <v>0</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22630</v>
      </c>
      <c r="H133" s="188">
        <f>'Timeliness Quarterly'!H64</f>
        <v>8596</v>
      </c>
      <c r="I133" s="188">
        <f>'Timeliness Quarterly'!I64</f>
        <v>0</v>
      </c>
      <c r="J133" s="188">
        <f>'Timeliness Quarterly'!J64</f>
        <v>0</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33890</v>
      </c>
      <c r="H134" s="188">
        <f>'Timeliness Quarterly'!H67</f>
        <v>12564</v>
      </c>
      <c r="I134" s="188">
        <f>'Timeliness Quarterly'!I67</f>
        <v>0</v>
      </c>
      <c r="J134" s="188">
        <f>'Timeliness Quarterly'!J67</f>
        <v>0</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831</v>
      </c>
      <c r="H135" s="188">
        <f>'Timeliness Quarterly'!H70</f>
        <v>216</v>
      </c>
      <c r="I135" s="188">
        <f>'Timeliness Quarterly'!I70</f>
        <v>0</v>
      </c>
      <c r="J135" s="188">
        <f>'Timeliness Quarterly'!J70</f>
        <v>0</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34134</v>
      </c>
      <c r="H136" s="188">
        <f>'Timeliness Quarterly'!H73</f>
        <v>14991</v>
      </c>
      <c r="I136" s="188">
        <f>'Timeliness Quarterly'!I73</f>
        <v>0</v>
      </c>
      <c r="J136" s="188">
        <f>'Timeliness Quarterly'!J73</f>
        <v>0</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1540</v>
      </c>
      <c r="H137" s="188">
        <f>'Timeliness Quarterly'!H12</f>
        <v>537</v>
      </c>
      <c r="I137" s="188">
        <f>'Timeliness Quarterly'!I12</f>
        <v>0</v>
      </c>
      <c r="J137" s="188">
        <f>'Timeliness Quarterly'!J12</f>
        <v>0</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1599</v>
      </c>
      <c r="H138" s="188">
        <f>'Timeliness Quarterly'!H15</f>
        <v>483</v>
      </c>
      <c r="I138" s="188">
        <f>'Timeliness Quarterly'!I15</f>
        <v>0</v>
      </c>
      <c r="J138" s="188">
        <f>'Timeliness Quarterly'!J15</f>
        <v>0</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266</v>
      </c>
      <c r="H139" s="188">
        <f>'Timeliness Quarterly'!H18</f>
        <v>69</v>
      </c>
      <c r="I139" s="188">
        <f>'Timeliness Quarterly'!I18</f>
        <v>0</v>
      </c>
      <c r="J139" s="188">
        <f>'Timeliness Quarterly'!J18</f>
        <v>0</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2074</v>
      </c>
      <c r="H140" s="188">
        <f>'Timeliness Quarterly'!H21</f>
        <v>793</v>
      </c>
      <c r="I140" s="188">
        <f>'Timeliness Quarterly'!I21</f>
        <v>0</v>
      </c>
      <c r="J140" s="188">
        <f>'Timeliness Quarterly'!J21</f>
        <v>0</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697</v>
      </c>
      <c r="H141" s="188">
        <f>'Timeliness Quarterly'!H24</f>
        <v>143</v>
      </c>
      <c r="I141" s="188">
        <f>'Timeliness Quarterly'!I24</f>
        <v>0</v>
      </c>
      <c r="J141" s="188">
        <f>'Timeliness Quarterly'!J24</f>
        <v>0</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3287</v>
      </c>
      <c r="H142" s="188">
        <f>'Timeliness Quarterly'!H27</f>
        <v>1125</v>
      </c>
      <c r="I142" s="188">
        <f>'Timeliness Quarterly'!I27</f>
        <v>0</v>
      </c>
      <c r="J142" s="188">
        <f>'Timeliness Quarterly'!J27</f>
        <v>0</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1465</v>
      </c>
      <c r="H143" s="188">
        <f>'Timeliness Quarterly'!H30</f>
        <v>630</v>
      </c>
      <c r="I143" s="188">
        <f>'Timeliness Quarterly'!I30</f>
        <v>0</v>
      </c>
      <c r="J143" s="188">
        <f>'Timeliness Quarterly'!J30</f>
        <v>0</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1241</v>
      </c>
      <c r="H144" s="188">
        <f>'Timeliness Quarterly'!H33</f>
        <v>479</v>
      </c>
      <c r="I144" s="188">
        <f>'Timeliness Quarterly'!I33</f>
        <v>0</v>
      </c>
      <c r="J144" s="188">
        <f>'Timeliness Quarterly'!J33</f>
        <v>0</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59</v>
      </c>
      <c r="H145" s="188">
        <f>'Timeliness Quarterly'!H36</f>
        <v>12</v>
      </c>
      <c r="I145" s="188">
        <f>'Timeliness Quarterly'!I36</f>
        <v>0</v>
      </c>
      <c r="J145" s="188">
        <f>'Timeliness Quarterly'!J36</f>
        <v>0</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10068</v>
      </c>
      <c r="H146" s="188">
        <f>'Timeliness Quarterly'!H39</f>
        <v>4729</v>
      </c>
      <c r="I146" s="188">
        <f>'Timeliness Quarterly'!I39</f>
        <v>0</v>
      </c>
      <c r="J146" s="188">
        <f>'Timeliness Quarterly'!J39</f>
        <v>0</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78223</v>
      </c>
      <c r="H147" s="188">
        <f>'Timeliness Quarterly'!H47</f>
        <v>29948</v>
      </c>
      <c r="I147" s="188">
        <f>'Timeliness Quarterly'!I47</f>
        <v>0</v>
      </c>
      <c r="J147" s="188">
        <f>'Timeliness Quarterly'!J47</f>
        <v>0</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26215</v>
      </c>
      <c r="H148" s="188">
        <f>'Timeliness Quarterly'!H50</f>
        <v>9309</v>
      </c>
      <c r="I148" s="188">
        <f>'Timeliness Quarterly'!I50</f>
        <v>0</v>
      </c>
      <c r="J148" s="188">
        <f>'Timeliness Quarterly'!J50</f>
        <v>0</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6397</v>
      </c>
      <c r="H149" s="188">
        <f>'Timeliness Quarterly'!H53</f>
        <v>2281</v>
      </c>
      <c r="I149" s="188">
        <f>'Timeliness Quarterly'!I53</f>
        <v>0</v>
      </c>
      <c r="J149" s="188">
        <f>'Timeliness Quarterly'!J53</f>
        <v>0</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13127</v>
      </c>
      <c r="H150" s="188">
        <f>'Timeliness Quarterly'!H56</f>
        <v>4797</v>
      </c>
      <c r="I150" s="188">
        <f>'Timeliness Quarterly'!I56</f>
        <v>0</v>
      </c>
      <c r="J150" s="188">
        <f>'Timeliness Quarterly'!J56</f>
        <v>0</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52718</v>
      </c>
      <c r="H151" s="188">
        <f>'Timeliness Quarterly'!H59</f>
        <v>15376</v>
      </c>
      <c r="I151" s="188">
        <f>'Timeliness Quarterly'!I59</f>
        <v>0</v>
      </c>
      <c r="J151" s="188">
        <f>'Timeliness Quarterly'!J59</f>
        <v>0</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48302</v>
      </c>
      <c r="H152" s="188">
        <f>'Timeliness Quarterly'!H62</f>
        <v>12529</v>
      </c>
      <c r="I152" s="188">
        <f>'Timeliness Quarterly'!I62</f>
        <v>0</v>
      </c>
      <c r="J152" s="188">
        <f>'Timeliness Quarterly'!J62</f>
        <v>0</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18388</v>
      </c>
      <c r="H153" s="188">
        <f>'Timeliness Quarterly'!H65</f>
        <v>8390</v>
      </c>
      <c r="I153" s="188">
        <f>'Timeliness Quarterly'!I65</f>
        <v>0</v>
      </c>
      <c r="J153" s="188">
        <f>'Timeliness Quarterly'!J65</f>
        <v>0</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32620</v>
      </c>
      <c r="H154" s="188">
        <f>'Timeliness Quarterly'!H68</f>
        <v>12208</v>
      </c>
      <c r="I154" s="188">
        <f>'Timeliness Quarterly'!I68</f>
        <v>0</v>
      </c>
      <c r="J154" s="188">
        <f>'Timeliness Quarterly'!J68</f>
        <v>0</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801</v>
      </c>
      <c r="H155" s="188">
        <f>'Timeliness Quarterly'!H71</f>
        <v>208</v>
      </c>
      <c r="I155" s="188">
        <f>'Timeliness Quarterly'!I71</f>
        <v>0</v>
      </c>
      <c r="J155" s="188">
        <f>'Timeliness Quarterly'!J71</f>
        <v>0</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33108</v>
      </c>
      <c r="H156" s="188">
        <f>'Timeliness Quarterly'!H74</f>
        <v>14625</v>
      </c>
      <c r="I156" s="188">
        <f>'Timeliness Quarterly'!I74</f>
        <v>0</v>
      </c>
      <c r="J156" s="188">
        <f>'Timeliness Quarterly'!J74</f>
        <v>0</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0.97650000000000003</v>
      </c>
      <c r="H157" s="188">
        <f>'Timeliness Quarterly'!H13</f>
        <v>0.97640000000000005</v>
      </c>
      <c r="I157" s="188">
        <f>'Timeliness Quarterly'!I13</f>
        <v>1</v>
      </c>
      <c r="J157" s="188">
        <f>'Timeliness Quarterly'!J13</f>
        <v>1</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0.97740000000000005</v>
      </c>
      <c r="H158" s="188">
        <f>'Timeliness Quarterly'!H16</f>
        <v>0.95079999999999998</v>
      </c>
      <c r="I158" s="188">
        <f>'Timeliness Quarterly'!I16</f>
        <v>1</v>
      </c>
      <c r="J158" s="188">
        <f>'Timeliness Quarterly'!J16</f>
        <v>1</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0.98150000000000004</v>
      </c>
      <c r="H159" s="188">
        <f>'Timeliness Quarterly'!H19</f>
        <v>0.9718</v>
      </c>
      <c r="I159" s="188">
        <f>'Timeliness Quarterly'!I19</f>
        <v>1</v>
      </c>
      <c r="J159" s="188">
        <f>'Timeliness Quarterly'!J19</f>
        <v>1</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0.96289999999999998</v>
      </c>
      <c r="H160" s="188">
        <f>'Timeliness Quarterly'!H22</f>
        <v>0.95540000000000003</v>
      </c>
      <c r="I160" s="188">
        <f>'Timeliness Quarterly'!I22</f>
        <v>1</v>
      </c>
      <c r="J160" s="188">
        <f>'Timeliness Quarterly'!J22</f>
        <v>1</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0.8367</v>
      </c>
      <c r="H161" s="188">
        <f>'Timeliness Quarterly'!H25</f>
        <v>0.54579999999999995</v>
      </c>
      <c r="I161" s="188">
        <f>'Timeliness Quarterly'!I25</f>
        <v>1</v>
      </c>
      <c r="J161" s="188">
        <f>'Timeliness Quarterly'!J25</f>
        <v>1</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0.92749999999999999</v>
      </c>
      <c r="H162" s="188">
        <f>'Timeliness Quarterly'!H28</f>
        <v>0.85029999999999994</v>
      </c>
      <c r="I162" s="188">
        <f>'Timeliness Quarterly'!I28</f>
        <v>1</v>
      </c>
      <c r="J162" s="188">
        <f>'Timeliness Quarterly'!J28</f>
        <v>1</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0.83430000000000004</v>
      </c>
      <c r="H163" s="188">
        <f>'Timeliness Quarterly'!H31</f>
        <v>0.9859</v>
      </c>
      <c r="I163" s="188">
        <f>'Timeliness Quarterly'!I31</f>
        <v>1</v>
      </c>
      <c r="J163" s="188">
        <f>'Timeliness Quarterly'!J31</f>
        <v>1</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0.96730000000000005</v>
      </c>
      <c r="H164" s="188">
        <f>'Timeliness Quarterly'!H34</f>
        <v>0.98970000000000002</v>
      </c>
      <c r="I164" s="188">
        <f>'Timeliness Quarterly'!I34</f>
        <v>1</v>
      </c>
      <c r="J164" s="188">
        <f>'Timeliness Quarterly'!J34</f>
        <v>1</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0.98329999999999995</v>
      </c>
      <c r="H165" s="188">
        <f>'Timeliness Quarterly'!H37</f>
        <v>1</v>
      </c>
      <c r="I165" s="188">
        <f>'Timeliness Quarterly'!I37</f>
        <v>1</v>
      </c>
      <c r="J165" s="188">
        <f>'Timeliness Quarterly'!J37</f>
        <v>1</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0.93940000000000001</v>
      </c>
      <c r="H166" s="188">
        <f>'Timeliness Quarterly'!H40</f>
        <v>0.96830000000000005</v>
      </c>
      <c r="I166" s="188">
        <f>'Timeliness Quarterly'!I40</f>
        <v>1</v>
      </c>
      <c r="J166" s="188">
        <f>'Timeliness Quarterly'!J40</f>
        <v>1</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0.98070000000000002</v>
      </c>
      <c r="H167" s="188">
        <f>'Timeliness Quarterly'!H48</f>
        <v>0.97919999999999996</v>
      </c>
      <c r="I167" s="188">
        <f>'Timeliness Quarterly'!I48</f>
        <v>1</v>
      </c>
      <c r="J167" s="188">
        <f>'Timeliness Quarterly'!J48</f>
        <v>1</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0.97560000000000002</v>
      </c>
      <c r="H168" s="188">
        <f>'Timeliness Quarterly'!H51</f>
        <v>0.96830000000000005</v>
      </c>
      <c r="I168" s="188">
        <f>'Timeliness Quarterly'!I51</f>
        <v>1</v>
      </c>
      <c r="J168" s="188">
        <f>'Timeliness Quarterly'!J51</f>
        <v>1</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0.99609999999999999</v>
      </c>
      <c r="H169" s="188">
        <f>'Timeliness Quarterly'!H54</f>
        <v>0.99739999999999995</v>
      </c>
      <c r="I169" s="188">
        <f>'Timeliness Quarterly'!I54</f>
        <v>1</v>
      </c>
      <c r="J169" s="188">
        <f>'Timeliness Quarterly'!J54</f>
        <v>1</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0.94130000000000003</v>
      </c>
      <c r="H170" s="188">
        <f>'Timeliness Quarterly'!H57</f>
        <v>0.93930000000000002</v>
      </c>
      <c r="I170" s="188">
        <f>'Timeliness Quarterly'!I57</f>
        <v>1</v>
      </c>
      <c r="J170" s="188">
        <f>'Timeliness Quarterly'!J57</f>
        <v>1</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0.95209999999999995</v>
      </c>
      <c r="H171" s="188">
        <f>'Timeliness Quarterly'!H60</f>
        <v>0.79320000000000002</v>
      </c>
      <c r="I171" s="188">
        <f>'Timeliness Quarterly'!I60</f>
        <v>1</v>
      </c>
      <c r="J171" s="188">
        <f>'Timeliness Quarterly'!J60</f>
        <v>1</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0.89419999999999999</v>
      </c>
      <c r="H172" s="188">
        <f>'Timeliness Quarterly'!H63</f>
        <v>0.62470000000000003</v>
      </c>
      <c r="I172" s="188">
        <f>'Timeliness Quarterly'!I63</f>
        <v>1</v>
      </c>
      <c r="J172" s="188">
        <f>'Timeliness Quarterly'!J63</f>
        <v>1</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0.8125</v>
      </c>
      <c r="H173" s="188">
        <f>'Timeliness Quarterly'!H66</f>
        <v>0.97599999999999998</v>
      </c>
      <c r="I173" s="188">
        <f>'Timeliness Quarterly'!I66</f>
        <v>1</v>
      </c>
      <c r="J173" s="188">
        <f>'Timeliness Quarterly'!J66</f>
        <v>1</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0.96250000000000002</v>
      </c>
      <c r="H174" s="188">
        <f>'Timeliness Quarterly'!H69</f>
        <v>0.97170000000000001</v>
      </c>
      <c r="I174" s="188">
        <f>'Timeliness Quarterly'!I69</f>
        <v>1</v>
      </c>
      <c r="J174" s="188">
        <f>'Timeliness Quarterly'!J69</f>
        <v>1</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0.96389999999999998</v>
      </c>
      <c r="H175" s="188">
        <f>'Timeliness Quarterly'!H72</f>
        <v>0.96299999999999997</v>
      </c>
      <c r="I175" s="188">
        <f>'Timeliness Quarterly'!I72</f>
        <v>1</v>
      </c>
      <c r="J175" s="188">
        <f>'Timeliness Quarterly'!J72</f>
        <v>1</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0.96989999999999998</v>
      </c>
      <c r="H176" s="188">
        <f>'Timeliness Quarterly'!H75</f>
        <v>0.97560000000000002</v>
      </c>
      <c r="I176" s="188">
        <f>'Timeliness Quarterly'!I75</f>
        <v>1</v>
      </c>
      <c r="J176" s="188">
        <f>'Timeliness Quarterly'!J75</f>
        <v>1</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f>'Timeliness Quarterly'!L23</f>
        <v>0</v>
      </c>
      <c r="H182" s="186" t="str">
        <f>'Timeliness Quarterly'!N23</f>
        <v>Staffing - External</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f>'Timeliness Quarterly'!P29</f>
        <v>0</v>
      </c>
      <c r="J184" s="186">
        <f>'Timeliness Quarterly'!R29</f>
        <v>0</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t="str">
        <f>'Timeliness Quarterly'!N58</f>
        <v>Staffing - External</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t="str">
        <f>'Timeliness Quarterly'!N61</f>
        <v>Staffing - External</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f>'Timeliness Quarterly'!P64</f>
        <v>0</v>
      </c>
      <c r="J194" s="186">
        <f>'Timeliness Quarterly'!R64</f>
        <v>0</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f>'Timeliness Quarterly'!M23</f>
        <v>0</v>
      </c>
      <c r="H202" s="186" t="str">
        <f>'Timeliness Quarterly'!O23</f>
        <v>We experienced staff changes and shortages, requiring hiring and training.  We are working on hiring and training new staff to recover from these shortages.  We have also been working overtime.</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f>'Timeliness Quarterly'!Q29</f>
        <v>0</v>
      </c>
      <c r="J204" s="186">
        <f>'Timeliness Quarterly'!S29</f>
        <v>0</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t="str">
        <f>'Timeliness Quarterly'!O58</f>
        <v>We experienced staff changes and shortages, requiring hiring and training.  We are working on hiring and training new staff to recover from these shortages.  We have also been working overtime to try to achieve time standards.</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t="str">
        <f>'Timeliness Quarterly'!O61</f>
        <v>We experienced staff changes and shortages, requiring hiring and training.  We are working on hiring and training new staff to recover from these shortages.  We have also been working overtime to try to achieve time standards.</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f>'Timeliness Quarterly'!Q64</f>
        <v>0</v>
      </c>
      <c r="J214" s="186">
        <f>'Timeliness Quarterly'!S64</f>
        <v>0</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0</v>
      </c>
      <c r="H222" s="186">
        <f t="shared" si="12"/>
        <v>1</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0</v>
      </c>
      <c r="J224" s="186">
        <f t="shared" si="14"/>
        <v>0</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1</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1</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0</v>
      </c>
      <c r="J234" s="186">
        <f t="shared" si="24"/>
        <v>0</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f>'Subcases Monthly'!R18</f>
        <v>0</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f>'Subcases Monthly'!R33</f>
        <v>0</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0</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58" t="s">
        <v>458</v>
      </c>
      <c r="C2" s="558"/>
      <c r="D2" s="558"/>
      <c r="E2" s="558"/>
      <c r="F2" s="558"/>
      <c r="G2" s="558"/>
      <c r="H2" s="558"/>
      <c r="I2" s="558"/>
      <c r="J2" s="558"/>
      <c r="K2" s="558"/>
      <c r="L2" s="558"/>
      <c r="M2" s="558"/>
      <c r="N2" s="558"/>
      <c r="O2" s="558" t="s">
        <v>459</v>
      </c>
      <c r="P2" s="558"/>
      <c r="Q2" s="558"/>
      <c r="R2" s="558"/>
      <c r="S2" s="558"/>
      <c r="T2" s="558"/>
      <c r="U2" s="558"/>
      <c r="V2" s="558"/>
      <c r="W2" s="558"/>
      <c r="X2" s="558"/>
      <c r="Y2" s="558"/>
      <c r="Z2" s="558"/>
      <c r="AA2" s="558"/>
      <c r="AB2" s="558" t="s">
        <v>460</v>
      </c>
      <c r="AC2" s="558"/>
      <c r="AD2" s="558"/>
      <c r="AE2" s="558"/>
      <c r="AF2" s="558"/>
      <c r="AG2" s="558"/>
      <c r="AH2" s="558"/>
      <c r="AI2" s="558"/>
      <c r="AJ2" s="558"/>
      <c r="AK2" s="558"/>
      <c r="AL2" s="558"/>
      <c r="AM2" s="558"/>
      <c r="AN2" s="558"/>
      <c r="AO2" s="558" t="s">
        <v>461</v>
      </c>
      <c r="AP2" s="558"/>
      <c r="AQ2" s="558"/>
      <c r="AR2" s="558"/>
      <c r="AS2" s="558"/>
      <c r="AT2" s="558"/>
      <c r="AU2" s="558"/>
      <c r="AV2" s="558"/>
      <c r="AW2" s="558"/>
      <c r="AX2" s="558"/>
      <c r="AY2" s="558"/>
      <c r="AZ2" s="558"/>
      <c r="BA2" s="558"/>
      <c r="BB2" s="558" t="s">
        <v>462</v>
      </c>
      <c r="BC2" s="558"/>
      <c r="BD2" s="558"/>
      <c r="BE2" s="558"/>
      <c r="BF2" s="558"/>
      <c r="BG2" s="558"/>
      <c r="BH2" s="558"/>
      <c r="BI2" s="558"/>
      <c r="BJ2" s="558"/>
      <c r="BK2" s="558"/>
      <c r="BL2" s="558"/>
      <c r="BM2" s="558"/>
      <c r="BN2" s="558"/>
      <c r="BO2" s="559" t="s">
        <v>463</v>
      </c>
      <c r="BP2" s="559"/>
      <c r="BQ2" s="559"/>
      <c r="BR2" s="559"/>
      <c r="BS2" s="559"/>
      <c r="BT2" s="559"/>
      <c r="BU2" s="559"/>
      <c r="BV2" s="559"/>
      <c r="BW2" s="559"/>
      <c r="BX2" s="559"/>
      <c r="BY2" s="559"/>
      <c r="BZ2" s="559"/>
      <c r="CA2" s="559"/>
      <c r="CB2" s="559" t="s">
        <v>464</v>
      </c>
      <c r="CC2" s="559"/>
      <c r="CD2" s="559"/>
      <c r="CE2" s="559"/>
      <c r="CF2" s="559"/>
      <c r="CG2" s="559"/>
      <c r="CH2" s="559"/>
      <c r="CI2" s="559"/>
      <c r="CJ2" s="559"/>
      <c r="CK2" s="559"/>
      <c r="CL2" s="559"/>
      <c r="CM2" s="559"/>
      <c r="CN2" s="559"/>
      <c r="CO2" s="559" t="s">
        <v>465</v>
      </c>
      <c r="CP2" s="559"/>
      <c r="CQ2" s="559"/>
      <c r="CR2" s="559"/>
      <c r="CS2" s="559"/>
      <c r="CT2" s="559"/>
      <c r="CU2" s="559"/>
      <c r="CV2" s="559"/>
      <c r="CW2" s="559"/>
      <c r="CX2" s="559"/>
      <c r="CY2" s="559"/>
      <c r="CZ2" s="559"/>
      <c r="DA2" s="559"/>
      <c r="DB2" s="559" t="s">
        <v>466</v>
      </c>
      <c r="DC2" s="559"/>
      <c r="DD2" s="559"/>
      <c r="DE2" s="559"/>
      <c r="DF2" s="559"/>
      <c r="DG2" s="559"/>
      <c r="DH2" s="559"/>
      <c r="DI2" s="559"/>
      <c r="DJ2" s="559"/>
      <c r="DK2" s="559"/>
      <c r="DL2" s="559"/>
      <c r="DM2" s="559"/>
      <c r="DN2" s="559"/>
      <c r="DO2" s="559" t="s">
        <v>467</v>
      </c>
      <c r="DP2" s="559"/>
      <c r="DQ2" s="559"/>
      <c r="DR2" s="559"/>
      <c r="DS2" s="559"/>
      <c r="DT2" s="559"/>
      <c r="DU2" s="559"/>
      <c r="DV2" s="559"/>
      <c r="DW2" s="559"/>
      <c r="DX2" s="559"/>
      <c r="DY2" s="559"/>
      <c r="DZ2" s="559"/>
      <c r="EA2" s="559"/>
      <c r="EB2" s="559" t="s">
        <v>468</v>
      </c>
      <c r="EC2" s="559"/>
      <c r="ED2" s="559"/>
      <c r="EE2" s="559"/>
      <c r="EF2" s="559"/>
      <c r="EG2" s="559"/>
      <c r="EH2" s="559"/>
      <c r="EI2" s="559"/>
      <c r="EJ2" s="559"/>
      <c r="EK2" s="559"/>
      <c r="EL2" s="559"/>
      <c r="EM2" s="559"/>
      <c r="EN2" s="559"/>
      <c r="EO2" s="560" t="s">
        <v>469</v>
      </c>
      <c r="EP2" s="560"/>
      <c r="EQ2" s="560"/>
      <c r="ER2" s="560"/>
      <c r="ES2" s="560"/>
      <c r="ET2" s="560"/>
      <c r="EU2" s="560"/>
      <c r="EV2" s="560"/>
      <c r="EW2" s="560"/>
      <c r="EX2" s="560"/>
      <c r="EY2" s="560"/>
      <c r="EZ2" s="560"/>
      <c r="FA2" s="560"/>
      <c r="FB2" s="560" t="s">
        <v>470</v>
      </c>
      <c r="FC2" s="560"/>
      <c r="FD2" s="560"/>
      <c r="FE2" s="560"/>
      <c r="FF2" s="560"/>
      <c r="FG2" s="560"/>
      <c r="FH2" s="560"/>
      <c r="FI2" s="560"/>
      <c r="FJ2" s="560"/>
      <c r="FK2" s="560"/>
      <c r="FL2" s="560"/>
      <c r="FM2" s="560"/>
      <c r="FN2" s="560"/>
      <c r="FO2" s="560" t="s">
        <v>471</v>
      </c>
      <c r="FP2" s="560"/>
      <c r="FQ2" s="560"/>
      <c r="FR2" s="560"/>
      <c r="FS2" s="560"/>
      <c r="FT2" s="560"/>
      <c r="FU2" s="560"/>
      <c r="FV2" s="560"/>
      <c r="FW2" s="560"/>
      <c r="FX2" s="560"/>
      <c r="FY2" s="560"/>
      <c r="FZ2" s="560"/>
      <c r="GA2" s="560"/>
      <c r="GB2" s="560" t="s">
        <v>472</v>
      </c>
      <c r="GC2" s="560"/>
      <c r="GD2" s="560"/>
      <c r="GE2" s="560"/>
      <c r="GF2" s="560"/>
      <c r="GG2" s="560"/>
      <c r="GH2" s="560"/>
      <c r="GI2" s="560"/>
      <c r="GJ2" s="560"/>
      <c r="GK2" s="560"/>
      <c r="GL2" s="560"/>
      <c r="GM2" s="560"/>
      <c r="GN2" s="560"/>
      <c r="GO2" s="560" t="s">
        <v>473</v>
      </c>
      <c r="GP2" s="560"/>
      <c r="GQ2" s="560"/>
      <c r="GR2" s="560"/>
      <c r="GS2" s="560"/>
      <c r="GT2" s="560"/>
      <c r="GU2" s="560"/>
      <c r="GV2" s="560"/>
      <c r="GW2" s="560"/>
      <c r="GX2" s="560"/>
      <c r="GY2" s="560"/>
      <c r="GZ2" s="560"/>
      <c r="HA2" s="560"/>
      <c r="HB2" s="562" t="s">
        <v>474</v>
      </c>
      <c r="HC2" s="562"/>
      <c r="HD2" s="562"/>
      <c r="HE2" s="562"/>
      <c r="HF2" s="562"/>
      <c r="HG2" s="562"/>
      <c r="HH2" s="562"/>
      <c r="HI2" s="562"/>
      <c r="HJ2" s="562"/>
      <c r="HK2" s="562"/>
      <c r="HL2" s="562"/>
      <c r="HM2" s="562"/>
      <c r="HN2" s="562"/>
      <c r="HO2" s="562" t="s">
        <v>475</v>
      </c>
      <c r="HP2" s="562"/>
      <c r="HQ2" s="562"/>
      <c r="HR2" s="562"/>
      <c r="HS2" s="562"/>
      <c r="HT2" s="562"/>
      <c r="HU2" s="562"/>
      <c r="HV2" s="562"/>
      <c r="HW2" s="562"/>
      <c r="HX2" s="562"/>
      <c r="HY2" s="562"/>
      <c r="HZ2" s="562"/>
      <c r="IA2" s="562"/>
      <c r="IB2" s="562" t="s">
        <v>476</v>
      </c>
      <c r="IC2" s="562"/>
      <c r="ID2" s="562"/>
      <c r="IE2" s="562"/>
      <c r="IF2" s="562"/>
      <c r="IG2" s="562"/>
      <c r="IH2" s="562"/>
      <c r="II2" s="562"/>
      <c r="IJ2" s="562"/>
      <c r="IK2" s="562"/>
      <c r="IL2" s="562"/>
      <c r="IM2" s="562"/>
      <c r="IN2" s="562"/>
      <c r="IO2" s="562" t="s">
        <v>477</v>
      </c>
      <c r="IP2" s="562"/>
      <c r="IQ2" s="562"/>
      <c r="IR2" s="562"/>
      <c r="IS2" s="562"/>
      <c r="IT2" s="562"/>
      <c r="IU2" s="562"/>
      <c r="IV2" s="562"/>
      <c r="IW2" s="562"/>
      <c r="IX2" s="562"/>
      <c r="IY2" s="562"/>
      <c r="IZ2" s="562"/>
      <c r="JA2" s="562"/>
      <c r="JB2" s="561" t="s">
        <v>478</v>
      </c>
      <c r="JC2" s="561"/>
      <c r="JD2" s="561"/>
      <c r="JE2" s="561"/>
      <c r="JF2" s="561"/>
      <c r="JG2" s="561"/>
      <c r="JH2" s="561"/>
      <c r="JI2" s="561"/>
      <c r="JJ2" s="561"/>
      <c r="JK2" s="561"/>
      <c r="JL2" s="561"/>
      <c r="JM2" s="561"/>
      <c r="JN2" s="561"/>
      <c r="JO2" s="561" t="s">
        <v>479</v>
      </c>
      <c r="JP2" s="561"/>
      <c r="JQ2" s="561"/>
      <c r="JR2" s="561"/>
      <c r="JS2" s="561"/>
      <c r="JT2" s="561"/>
      <c r="JU2" s="561"/>
      <c r="JV2" s="561"/>
      <c r="JW2" s="561"/>
      <c r="JX2" s="561"/>
      <c r="JY2" s="561"/>
      <c r="JZ2" s="561"/>
      <c r="KA2" s="561"/>
      <c r="KB2" s="561" t="s">
        <v>480</v>
      </c>
      <c r="KC2" s="561"/>
      <c r="KD2" s="561"/>
      <c r="KE2" s="561"/>
      <c r="KF2" s="561"/>
      <c r="KG2" s="561"/>
      <c r="KH2" s="561"/>
      <c r="KI2" s="561"/>
      <c r="KJ2" s="561"/>
      <c r="KK2" s="561"/>
      <c r="KL2" s="561"/>
      <c r="KM2" s="561"/>
      <c r="KN2" s="561"/>
      <c r="KO2" s="561" t="s">
        <v>481</v>
      </c>
      <c r="KP2" s="561"/>
      <c r="KQ2" s="561"/>
      <c r="KR2" s="561"/>
      <c r="KS2" s="561"/>
      <c r="KT2" s="561"/>
      <c r="KU2" s="561"/>
      <c r="KV2" s="561"/>
      <c r="KW2" s="561"/>
      <c r="KX2" s="561"/>
      <c r="KY2" s="561"/>
      <c r="KZ2" s="561"/>
      <c r="LA2" s="561"/>
      <c r="LB2" s="561" t="s">
        <v>482</v>
      </c>
      <c r="LC2" s="561"/>
      <c r="LD2" s="561"/>
      <c r="LE2" s="561"/>
      <c r="LF2" s="561"/>
      <c r="LG2" s="561"/>
      <c r="LH2" s="561"/>
      <c r="LI2" s="561"/>
      <c r="LJ2" s="561"/>
      <c r="LK2" s="561"/>
      <c r="LL2" s="561"/>
      <c r="LM2" s="561"/>
      <c r="LN2" s="561"/>
      <c r="LO2" s="563" t="s">
        <v>483</v>
      </c>
      <c r="LP2" s="564"/>
      <c r="LQ2" s="564"/>
      <c r="LR2" s="564"/>
      <c r="LS2" s="564"/>
      <c r="LT2" s="564"/>
      <c r="LU2" s="564"/>
      <c r="LV2" s="564"/>
      <c r="LW2" s="564"/>
      <c r="LX2" s="564"/>
      <c r="LY2" s="564"/>
      <c r="LZ2" s="564"/>
      <c r="MA2" s="565"/>
      <c r="MB2" s="561" t="s">
        <v>484</v>
      </c>
      <c r="MC2" s="561"/>
      <c r="MD2" s="561"/>
      <c r="ME2" s="561"/>
      <c r="MF2" s="561"/>
      <c r="MG2" s="561"/>
      <c r="MH2" s="561"/>
      <c r="MI2" s="561"/>
      <c r="MJ2" s="561"/>
      <c r="MK2" s="561"/>
      <c r="ML2" s="561"/>
      <c r="MM2" s="561"/>
      <c r="MN2" s="561"/>
      <c r="MO2" s="561" t="s">
        <v>485</v>
      </c>
      <c r="MP2" s="561"/>
      <c r="MQ2" s="561"/>
      <c r="MR2" s="561"/>
      <c r="MS2" s="561"/>
      <c r="MT2" s="561"/>
      <c r="MU2" s="561"/>
      <c r="MV2" s="561"/>
      <c r="MW2" s="561"/>
      <c r="MX2" s="561"/>
      <c r="MY2" s="561"/>
      <c r="MZ2" s="561"/>
      <c r="NA2" s="561"/>
      <c r="NB2" s="561" t="s">
        <v>486</v>
      </c>
      <c r="NC2" s="561"/>
      <c r="ND2" s="561"/>
      <c r="NE2" s="561"/>
      <c r="NF2" s="561"/>
      <c r="NG2" s="561"/>
      <c r="NH2" s="561"/>
      <c r="NI2" s="561"/>
      <c r="NJ2" s="561"/>
      <c r="NK2" s="561"/>
      <c r="NL2" s="561"/>
      <c r="NM2" s="561"/>
      <c r="NN2" s="561"/>
      <c r="NO2" s="561" t="s">
        <v>487</v>
      </c>
      <c r="NP2" s="561"/>
      <c r="NQ2" s="561"/>
      <c r="NR2" s="561"/>
      <c r="NS2" s="561"/>
      <c r="NT2" s="561"/>
      <c r="NU2" s="561"/>
      <c r="NV2" s="561"/>
      <c r="NW2" s="561"/>
      <c r="NX2" s="561"/>
      <c r="NY2" s="561"/>
      <c r="NZ2" s="561"/>
      <c r="OA2" s="561"/>
      <c r="OB2" s="561" t="s">
        <v>488</v>
      </c>
      <c r="OC2" s="561"/>
      <c r="OD2" s="561"/>
      <c r="OE2" s="561"/>
      <c r="OF2" s="561"/>
      <c r="OG2" s="561"/>
      <c r="OH2" s="561"/>
      <c r="OI2" s="561"/>
      <c r="OJ2" s="561"/>
      <c r="OK2" s="561"/>
      <c r="OL2" s="561"/>
      <c r="OM2" s="561"/>
      <c r="ON2" s="561"/>
      <c r="OO2" s="561" t="s">
        <v>489</v>
      </c>
      <c r="OP2" s="561"/>
      <c r="OQ2" s="561"/>
      <c r="OR2" s="561"/>
      <c r="OS2" s="561"/>
      <c r="OT2" s="561"/>
      <c r="OU2" s="561"/>
      <c r="OV2" s="561"/>
      <c r="OW2" s="561"/>
      <c r="OX2" s="561"/>
      <c r="OY2" s="561"/>
      <c r="OZ2" s="561"/>
      <c r="PA2" s="561"/>
      <c r="PB2" s="561" t="s">
        <v>490</v>
      </c>
      <c r="PC2" s="561"/>
      <c r="PD2" s="561"/>
      <c r="PE2" s="561"/>
      <c r="PF2" s="561"/>
      <c r="PG2" s="561"/>
      <c r="PH2" s="561"/>
      <c r="PI2" s="561"/>
      <c r="PJ2" s="561"/>
      <c r="PK2" s="561"/>
      <c r="PL2" s="561"/>
      <c r="PM2" s="561"/>
      <c r="PN2" s="561"/>
      <c r="PO2" s="561" t="s">
        <v>491</v>
      </c>
      <c r="PP2" s="561"/>
      <c r="PQ2" s="561"/>
      <c r="PR2" s="561"/>
      <c r="PS2" s="561"/>
      <c r="PT2" s="561"/>
      <c r="PU2" s="561"/>
      <c r="PV2" s="561"/>
      <c r="PW2" s="561"/>
      <c r="PX2" s="561"/>
      <c r="PY2" s="561"/>
      <c r="PZ2" s="561"/>
      <c r="QA2" s="561"/>
      <c r="QB2" s="561" t="s">
        <v>492</v>
      </c>
      <c r="QC2" s="561"/>
      <c r="QD2" s="561"/>
      <c r="QE2" s="561"/>
      <c r="QF2" s="561"/>
      <c r="QG2" s="561"/>
      <c r="QH2" s="561"/>
      <c r="QI2" s="561"/>
      <c r="QJ2" s="561"/>
      <c r="QK2" s="561"/>
      <c r="QL2" s="561"/>
      <c r="QM2" s="561"/>
      <c r="QN2" s="561"/>
      <c r="QO2" s="561" t="s">
        <v>493</v>
      </c>
      <c r="QP2" s="561"/>
      <c r="QQ2" s="561"/>
      <c r="QR2" s="561"/>
      <c r="QS2" s="561"/>
      <c r="QT2" s="561"/>
      <c r="QU2" s="561"/>
      <c r="QV2" s="561"/>
      <c r="QW2" s="561"/>
      <c r="QX2" s="561"/>
      <c r="QY2" s="561"/>
      <c r="QZ2" s="561"/>
      <c r="RA2" s="561"/>
      <c r="RB2" s="561" t="s">
        <v>494</v>
      </c>
      <c r="RC2" s="561"/>
      <c r="RD2" s="561"/>
      <c r="RE2" s="561"/>
      <c r="RF2" s="561"/>
      <c r="RG2" s="561"/>
      <c r="RH2" s="561"/>
      <c r="RI2" s="561"/>
      <c r="RJ2" s="561"/>
      <c r="RK2" s="561"/>
      <c r="RL2" s="561"/>
      <c r="RM2" s="561"/>
      <c r="RN2" s="561"/>
      <c r="RO2" s="561" t="s">
        <v>495</v>
      </c>
      <c r="RP2" s="561"/>
      <c r="RQ2" s="561"/>
      <c r="RR2" s="561"/>
      <c r="RS2" s="561"/>
      <c r="RT2" s="561"/>
      <c r="RU2" s="561"/>
      <c r="RV2" s="561"/>
      <c r="RW2" s="561"/>
      <c r="RX2" s="561"/>
      <c r="RY2" s="561"/>
      <c r="RZ2" s="561"/>
      <c r="SA2" s="561"/>
      <c r="SB2" s="561" t="s">
        <v>496</v>
      </c>
      <c r="SC2" s="561"/>
      <c r="SD2" s="561"/>
      <c r="SE2" s="561"/>
      <c r="SF2" s="561"/>
      <c r="SG2" s="561"/>
      <c r="SH2" s="561"/>
      <c r="SI2" s="561"/>
      <c r="SJ2" s="561"/>
      <c r="SK2" s="561"/>
      <c r="SL2" s="561"/>
      <c r="SM2" s="561"/>
      <c r="SN2" s="561"/>
      <c r="SO2" s="561" t="s">
        <v>497</v>
      </c>
      <c r="SP2" s="561"/>
      <c r="SQ2" s="561"/>
      <c r="SR2" s="561"/>
      <c r="SS2" s="561"/>
      <c r="ST2" s="561"/>
      <c r="SU2" s="561"/>
      <c r="SV2" s="561"/>
      <c r="SW2" s="561"/>
      <c r="SX2" s="561"/>
      <c r="SY2" s="561"/>
      <c r="SZ2" s="561"/>
      <c r="TA2" s="561"/>
      <c r="TB2" s="561" t="s">
        <v>498</v>
      </c>
      <c r="TC2" s="561"/>
      <c r="TD2" s="561"/>
      <c r="TE2" s="561"/>
      <c r="TF2" s="561"/>
      <c r="TG2" s="561"/>
      <c r="TH2" s="561"/>
      <c r="TI2" s="561"/>
      <c r="TJ2" s="561"/>
      <c r="TK2" s="561"/>
      <c r="TL2" s="561"/>
      <c r="TM2" s="561"/>
      <c r="TN2" s="561"/>
      <c r="TO2" s="561" t="s">
        <v>499</v>
      </c>
      <c r="TP2" s="561"/>
      <c r="TQ2" s="561"/>
      <c r="TR2" s="561"/>
      <c r="TS2" s="561"/>
      <c r="TT2" s="561"/>
      <c r="TU2" s="561"/>
      <c r="TV2" s="561"/>
      <c r="TW2" s="561"/>
      <c r="TX2" s="561"/>
      <c r="TY2" s="561"/>
      <c r="TZ2" s="561"/>
      <c r="UA2" s="561"/>
      <c r="UB2" s="566" t="s">
        <v>500</v>
      </c>
      <c r="UC2" s="567"/>
      <c r="UD2" s="567"/>
      <c r="UE2" s="567"/>
      <c r="UF2" s="567"/>
      <c r="UG2" s="567"/>
      <c r="UH2" s="567"/>
      <c r="UI2" s="567"/>
      <c r="UJ2" s="567"/>
      <c r="UK2" s="567"/>
      <c r="UL2" s="567"/>
      <c r="UM2" s="567"/>
      <c r="UN2" s="568"/>
      <c r="UO2" s="566" t="s">
        <v>501</v>
      </c>
      <c r="UP2" s="567"/>
      <c r="UQ2" s="567"/>
      <c r="UR2" s="567"/>
      <c r="US2" s="567"/>
      <c r="UT2" s="567"/>
      <c r="UU2" s="567"/>
      <c r="UV2" s="567"/>
      <c r="UW2" s="567"/>
      <c r="UX2" s="567"/>
      <c r="UY2" s="567"/>
      <c r="UZ2" s="567"/>
      <c r="VA2" s="568"/>
      <c r="VB2" s="566" t="s">
        <v>1900</v>
      </c>
      <c r="VC2" s="567"/>
      <c r="VD2" s="567"/>
      <c r="VE2" s="567"/>
      <c r="VF2" s="567"/>
      <c r="VG2" s="567"/>
      <c r="VH2" s="567"/>
      <c r="VI2" s="567"/>
      <c r="VJ2" s="567"/>
      <c r="VK2" s="567"/>
      <c r="VL2" s="567"/>
      <c r="VM2" s="567"/>
      <c r="VN2" s="568"/>
      <c r="VO2" s="566" t="s">
        <v>1899</v>
      </c>
      <c r="VP2" s="567"/>
      <c r="VQ2" s="567"/>
      <c r="VR2" s="567"/>
      <c r="VS2" s="567"/>
      <c r="VT2" s="567"/>
      <c r="VU2" s="567"/>
      <c r="VV2" s="567"/>
      <c r="VW2" s="567"/>
      <c r="VX2" s="567"/>
      <c r="VY2" s="567"/>
      <c r="VZ2" s="567"/>
      <c r="WA2" s="568"/>
      <c r="WB2" s="566" t="s">
        <v>502</v>
      </c>
      <c r="WC2" s="567"/>
      <c r="WD2" s="567"/>
      <c r="WE2" s="567"/>
      <c r="WF2" s="567"/>
      <c r="WG2" s="567"/>
      <c r="WH2" s="567"/>
      <c r="WI2" s="567"/>
      <c r="WJ2" s="567"/>
      <c r="WK2" s="567"/>
      <c r="WL2" s="567"/>
      <c r="WM2" s="567"/>
      <c r="WN2" s="568"/>
      <c r="WO2" s="566" t="s">
        <v>503</v>
      </c>
      <c r="WP2" s="567"/>
      <c r="WQ2" s="567"/>
      <c r="WR2" s="567"/>
      <c r="WS2" s="567"/>
      <c r="WT2" s="567"/>
      <c r="WU2" s="567"/>
      <c r="WV2" s="567"/>
      <c r="WW2" s="567"/>
      <c r="WX2" s="567"/>
      <c r="WY2" s="567"/>
      <c r="WZ2" s="567"/>
      <c r="XA2" s="568"/>
      <c r="XB2" s="566" t="s">
        <v>504</v>
      </c>
      <c r="XC2" s="567"/>
      <c r="XD2" s="567"/>
      <c r="XE2" s="567"/>
      <c r="XF2" s="567"/>
      <c r="XG2" s="567"/>
      <c r="XH2" s="567"/>
      <c r="XI2" s="567"/>
      <c r="XJ2" s="567"/>
      <c r="XK2" s="567"/>
      <c r="XL2" s="567"/>
      <c r="XM2" s="567"/>
      <c r="XN2" s="568"/>
      <c r="XO2" s="566" t="s">
        <v>505</v>
      </c>
      <c r="XP2" s="567"/>
      <c r="XQ2" s="567"/>
      <c r="XR2" s="567"/>
      <c r="XS2" s="567"/>
      <c r="XT2" s="567"/>
      <c r="XU2" s="567"/>
      <c r="XV2" s="567"/>
      <c r="XW2" s="567"/>
      <c r="XX2" s="567"/>
      <c r="XY2" s="567"/>
      <c r="XZ2" s="567"/>
      <c r="YA2" s="568"/>
      <c r="YB2" s="566" t="s">
        <v>506</v>
      </c>
      <c r="YC2" s="567"/>
      <c r="YD2" s="567"/>
      <c r="YE2" s="567"/>
      <c r="YF2" s="567"/>
      <c r="YG2" s="567"/>
      <c r="YH2" s="567"/>
      <c r="YI2" s="567"/>
      <c r="YJ2" s="567"/>
      <c r="YK2" s="567"/>
      <c r="YL2" s="567"/>
      <c r="YM2" s="567"/>
      <c r="YN2" s="568"/>
      <c r="YO2" s="566" t="s">
        <v>507</v>
      </c>
      <c r="YP2" s="567"/>
      <c r="YQ2" s="567"/>
      <c r="YR2" s="567"/>
      <c r="YS2" s="567"/>
      <c r="YT2" s="567"/>
      <c r="YU2" s="567"/>
      <c r="YV2" s="567"/>
      <c r="YW2" s="567"/>
      <c r="YX2" s="567"/>
      <c r="YY2" s="567"/>
      <c r="YZ2" s="567"/>
      <c r="ZA2" s="568"/>
      <c r="ZB2" s="566" t="s">
        <v>508</v>
      </c>
      <c r="ZC2" s="567"/>
      <c r="ZD2" s="567"/>
      <c r="ZE2" s="567"/>
      <c r="ZF2" s="567"/>
      <c r="ZG2" s="567"/>
      <c r="ZH2" s="567"/>
      <c r="ZI2" s="567"/>
      <c r="ZJ2" s="567"/>
      <c r="ZK2" s="567"/>
      <c r="ZL2" s="567"/>
      <c r="ZM2" s="567"/>
      <c r="ZN2" s="568"/>
      <c r="ZO2" s="566" t="s">
        <v>509</v>
      </c>
      <c r="ZP2" s="567"/>
      <c r="ZQ2" s="567"/>
      <c r="ZR2" s="567"/>
      <c r="ZS2" s="567"/>
      <c r="ZT2" s="567"/>
      <c r="ZU2" s="567"/>
      <c r="ZV2" s="567"/>
      <c r="ZW2" s="567"/>
      <c r="ZX2" s="567"/>
      <c r="ZY2" s="567"/>
      <c r="ZZ2" s="567"/>
      <c r="AAA2" s="568"/>
      <c r="AAB2" s="569" t="s">
        <v>510</v>
      </c>
      <c r="AAC2" s="570"/>
      <c r="AAD2" s="570"/>
      <c r="AAE2" s="570"/>
      <c r="AAF2" s="570"/>
      <c r="AAG2" s="570"/>
      <c r="AAH2" s="570"/>
      <c r="AAI2" s="570"/>
      <c r="AAJ2" s="570"/>
      <c r="AAK2" s="570"/>
      <c r="AAL2" s="570"/>
      <c r="AAM2" s="570"/>
      <c r="AAN2" s="571"/>
      <c r="AAO2" s="569" t="s">
        <v>511</v>
      </c>
      <c r="AAP2" s="570"/>
      <c r="AAQ2" s="570"/>
      <c r="AAR2" s="570"/>
      <c r="AAS2" s="570"/>
      <c r="AAT2" s="570"/>
      <c r="AAU2" s="570"/>
      <c r="AAV2" s="570"/>
      <c r="AAW2" s="570"/>
      <c r="AAX2" s="570"/>
      <c r="AAY2" s="570"/>
      <c r="AAZ2" s="570"/>
      <c r="ABA2" s="571"/>
      <c r="ABB2" s="569" t="s">
        <v>512</v>
      </c>
      <c r="ABC2" s="570"/>
      <c r="ABD2" s="570"/>
      <c r="ABE2" s="570"/>
      <c r="ABF2" s="570"/>
      <c r="ABG2" s="570"/>
      <c r="ABH2" s="570"/>
      <c r="ABI2" s="570"/>
      <c r="ABJ2" s="570"/>
      <c r="ABK2" s="570"/>
      <c r="ABL2" s="570"/>
      <c r="ABM2" s="570"/>
      <c r="ABN2" s="571"/>
      <c r="ABO2" s="569" t="s">
        <v>513</v>
      </c>
      <c r="ABP2" s="570"/>
      <c r="ABQ2" s="570"/>
      <c r="ABR2" s="570"/>
      <c r="ABS2" s="570"/>
      <c r="ABT2" s="570"/>
      <c r="ABU2" s="570"/>
      <c r="ABV2" s="570"/>
      <c r="ABW2" s="570"/>
      <c r="ABX2" s="570"/>
      <c r="ABY2" s="570"/>
      <c r="ABZ2" s="570"/>
      <c r="ACA2" s="571"/>
      <c r="ACB2" s="569" t="s">
        <v>514</v>
      </c>
      <c r="ACC2" s="570"/>
      <c r="ACD2" s="570"/>
      <c r="ACE2" s="570"/>
      <c r="ACF2" s="570"/>
      <c r="ACG2" s="570"/>
      <c r="ACH2" s="570"/>
      <c r="ACI2" s="570"/>
      <c r="ACJ2" s="570"/>
      <c r="ACK2" s="570"/>
      <c r="ACL2" s="570"/>
      <c r="ACM2" s="570"/>
      <c r="ACN2" s="571"/>
      <c r="ACO2" s="569" t="s">
        <v>515</v>
      </c>
      <c r="ACP2" s="570"/>
      <c r="ACQ2" s="570"/>
      <c r="ACR2" s="570"/>
      <c r="ACS2" s="570"/>
      <c r="ACT2" s="570"/>
      <c r="ACU2" s="570"/>
      <c r="ACV2" s="570"/>
      <c r="ACW2" s="570"/>
      <c r="ACX2" s="570"/>
      <c r="ACY2" s="570"/>
      <c r="ACZ2" s="570"/>
      <c r="ADA2" s="571"/>
      <c r="ADB2" s="569" t="s">
        <v>516</v>
      </c>
      <c r="ADC2" s="570"/>
      <c r="ADD2" s="570"/>
      <c r="ADE2" s="570"/>
      <c r="ADF2" s="570"/>
      <c r="ADG2" s="570"/>
      <c r="ADH2" s="570"/>
      <c r="ADI2" s="570"/>
      <c r="ADJ2" s="570"/>
      <c r="ADK2" s="570"/>
      <c r="ADL2" s="570"/>
      <c r="ADM2" s="570"/>
      <c r="ADN2" s="571"/>
      <c r="ADO2" s="569" t="s">
        <v>517</v>
      </c>
      <c r="ADP2" s="570"/>
      <c r="ADQ2" s="570"/>
      <c r="ADR2" s="570"/>
      <c r="ADS2" s="570"/>
      <c r="ADT2" s="570"/>
      <c r="ADU2" s="570"/>
      <c r="ADV2" s="570"/>
      <c r="ADW2" s="570"/>
      <c r="ADX2" s="570"/>
      <c r="ADY2" s="570"/>
      <c r="ADZ2" s="570"/>
      <c r="AEA2" s="571"/>
      <c r="AEB2" s="569" t="s">
        <v>518</v>
      </c>
      <c r="AEC2" s="570"/>
      <c r="AED2" s="570"/>
      <c r="AEE2" s="570"/>
      <c r="AEF2" s="570"/>
      <c r="AEG2" s="570"/>
      <c r="AEH2" s="570"/>
      <c r="AEI2" s="570"/>
      <c r="AEJ2" s="570"/>
      <c r="AEK2" s="570"/>
      <c r="AEL2" s="570"/>
      <c r="AEM2" s="570"/>
      <c r="AEN2" s="571"/>
      <c r="AEO2" s="569" t="s">
        <v>519</v>
      </c>
      <c r="AEP2" s="570"/>
      <c r="AEQ2" s="570"/>
      <c r="AER2" s="570"/>
      <c r="AES2" s="570"/>
      <c r="AET2" s="570"/>
      <c r="AEU2" s="570"/>
      <c r="AEV2" s="570"/>
      <c r="AEW2" s="570"/>
      <c r="AEX2" s="570"/>
      <c r="AEY2" s="570"/>
      <c r="AEZ2" s="570"/>
      <c r="AFA2" s="571"/>
      <c r="AFB2" s="569" t="s">
        <v>520</v>
      </c>
      <c r="AFC2" s="570"/>
      <c r="AFD2" s="570"/>
      <c r="AFE2" s="570"/>
      <c r="AFF2" s="570"/>
      <c r="AFG2" s="570"/>
      <c r="AFH2" s="570"/>
      <c r="AFI2" s="570"/>
      <c r="AFJ2" s="570"/>
      <c r="AFK2" s="570"/>
      <c r="AFL2" s="570"/>
      <c r="AFM2" s="570"/>
      <c r="AFN2" s="571"/>
      <c r="AFO2" s="569" t="s">
        <v>521</v>
      </c>
      <c r="AFP2" s="570"/>
      <c r="AFQ2" s="570"/>
      <c r="AFR2" s="570"/>
      <c r="AFS2" s="570"/>
      <c r="AFT2" s="570"/>
      <c r="AFU2" s="570"/>
      <c r="AFV2" s="570"/>
      <c r="AFW2" s="570"/>
      <c r="AFX2" s="570"/>
      <c r="AFY2" s="570"/>
      <c r="AFZ2" s="570"/>
      <c r="AGA2" s="571"/>
      <c r="AGB2" s="569" t="s">
        <v>522</v>
      </c>
      <c r="AGC2" s="570"/>
      <c r="AGD2" s="570"/>
      <c r="AGE2" s="570"/>
      <c r="AGF2" s="570"/>
      <c r="AGG2" s="570"/>
      <c r="AGH2" s="570"/>
      <c r="AGI2" s="570"/>
      <c r="AGJ2" s="570"/>
      <c r="AGK2" s="570"/>
      <c r="AGL2" s="570"/>
      <c r="AGM2" s="570"/>
      <c r="AGN2" s="571"/>
      <c r="AGO2" s="569" t="s">
        <v>523</v>
      </c>
      <c r="AGP2" s="570"/>
      <c r="AGQ2" s="570"/>
      <c r="AGR2" s="570"/>
      <c r="AGS2" s="570"/>
      <c r="AGT2" s="570"/>
      <c r="AGU2" s="570"/>
      <c r="AGV2" s="570"/>
      <c r="AGW2" s="570"/>
      <c r="AGX2" s="570"/>
      <c r="AGY2" s="570"/>
      <c r="AGZ2" s="570"/>
      <c r="AHA2" s="571"/>
      <c r="AHB2" s="569" t="s">
        <v>524</v>
      </c>
      <c r="AHC2" s="570"/>
      <c r="AHD2" s="570"/>
      <c r="AHE2" s="570"/>
      <c r="AHF2" s="570"/>
      <c r="AHG2" s="570"/>
      <c r="AHH2" s="570"/>
      <c r="AHI2" s="570"/>
      <c r="AHJ2" s="570"/>
      <c r="AHK2" s="570"/>
      <c r="AHL2" s="570"/>
      <c r="AHM2" s="570"/>
      <c r="AHN2" s="571"/>
      <c r="AHO2" s="326" t="s">
        <v>525</v>
      </c>
      <c r="AHP2" s="326"/>
      <c r="AHQ2" s="326"/>
      <c r="AHR2" s="326"/>
      <c r="AHS2" s="326"/>
      <c r="AHT2" s="326"/>
      <c r="AHU2" s="326"/>
      <c r="AHV2" s="326"/>
      <c r="AHW2" s="326"/>
      <c r="AHX2" s="326"/>
      <c r="AHY2" s="326"/>
      <c r="AHZ2" s="326"/>
      <c r="AIA2" s="326"/>
      <c r="AIB2" s="569" t="s">
        <v>526</v>
      </c>
      <c r="AIC2" s="570"/>
      <c r="AID2" s="570"/>
      <c r="AIE2" s="570"/>
      <c r="AIF2" s="570"/>
      <c r="AIG2" s="570"/>
      <c r="AIH2" s="570"/>
      <c r="AII2" s="570"/>
      <c r="AIJ2" s="570"/>
      <c r="AIK2" s="570"/>
      <c r="AIL2" s="570"/>
      <c r="AIM2" s="570"/>
      <c r="AIN2" s="571"/>
      <c r="AIO2" s="569" t="s">
        <v>527</v>
      </c>
      <c r="AIP2" s="570"/>
      <c r="AIQ2" s="570"/>
      <c r="AIR2" s="570"/>
      <c r="AIS2" s="570"/>
      <c r="AIT2" s="570"/>
      <c r="AIU2" s="570"/>
      <c r="AIV2" s="570"/>
      <c r="AIW2" s="570"/>
      <c r="AIX2" s="570"/>
      <c r="AIY2" s="570"/>
      <c r="AIZ2" s="570"/>
      <c r="AJA2" s="571"/>
      <c r="AJB2" s="572" t="s">
        <v>528</v>
      </c>
      <c r="AJC2" s="573"/>
      <c r="AJD2" s="573"/>
      <c r="AJE2" s="573"/>
      <c r="AJF2" s="573"/>
      <c r="AJG2" s="573"/>
      <c r="AJH2" s="573"/>
      <c r="AJI2" s="573"/>
      <c r="AJJ2" s="573"/>
      <c r="AJK2" s="573"/>
      <c r="AJL2" s="573"/>
      <c r="AJM2" s="573"/>
      <c r="AJN2" s="574"/>
      <c r="AJO2" s="572" t="s">
        <v>529</v>
      </c>
      <c r="AJP2" s="573"/>
      <c r="AJQ2" s="573"/>
      <c r="AJR2" s="573"/>
      <c r="AJS2" s="573"/>
      <c r="AJT2" s="573"/>
      <c r="AJU2" s="573"/>
      <c r="AJV2" s="573"/>
      <c r="AJW2" s="573"/>
      <c r="AJX2" s="573"/>
      <c r="AJY2" s="573"/>
      <c r="AJZ2" s="573"/>
      <c r="AKA2" s="574"/>
      <c r="AKB2" s="572" t="s">
        <v>530</v>
      </c>
      <c r="AKC2" s="573"/>
      <c r="AKD2" s="573"/>
      <c r="AKE2" s="573"/>
      <c r="AKF2" s="573"/>
      <c r="AKG2" s="573"/>
      <c r="AKH2" s="573"/>
      <c r="AKI2" s="573"/>
      <c r="AKJ2" s="573"/>
      <c r="AKK2" s="573"/>
      <c r="AKL2" s="573"/>
      <c r="AKM2" s="573"/>
      <c r="AKN2" s="574"/>
      <c r="AKO2" s="572" t="s">
        <v>531</v>
      </c>
      <c r="AKP2" s="573"/>
      <c r="AKQ2" s="573"/>
      <c r="AKR2" s="573"/>
      <c r="AKS2" s="573"/>
      <c r="AKT2" s="573"/>
      <c r="AKU2" s="573"/>
      <c r="AKV2" s="573"/>
      <c r="AKW2" s="573"/>
      <c r="AKX2" s="573"/>
      <c r="AKY2" s="573"/>
      <c r="AKZ2" s="573"/>
      <c r="ALA2" s="574"/>
      <c r="ALB2" s="572" t="s">
        <v>532</v>
      </c>
      <c r="ALC2" s="573"/>
      <c r="ALD2" s="573"/>
      <c r="ALE2" s="573"/>
      <c r="ALF2" s="573"/>
      <c r="ALG2" s="573"/>
      <c r="ALH2" s="573"/>
      <c r="ALI2" s="573"/>
      <c r="ALJ2" s="573"/>
      <c r="ALK2" s="573"/>
      <c r="ALL2" s="573"/>
      <c r="ALM2" s="573"/>
      <c r="ALN2" s="574"/>
      <c r="ALO2" s="572" t="s">
        <v>533</v>
      </c>
      <c r="ALP2" s="573"/>
      <c r="ALQ2" s="573"/>
      <c r="ALR2" s="573"/>
      <c r="ALS2" s="573"/>
      <c r="ALT2" s="573"/>
      <c r="ALU2" s="573"/>
      <c r="ALV2" s="573"/>
      <c r="ALW2" s="573"/>
      <c r="ALX2" s="573"/>
      <c r="ALY2" s="573"/>
      <c r="ALZ2" s="573"/>
      <c r="AMA2" s="574"/>
      <c r="AMB2" s="572" t="s">
        <v>534</v>
      </c>
      <c r="AMC2" s="573"/>
      <c r="AMD2" s="573"/>
      <c r="AME2" s="573"/>
      <c r="AMF2" s="573"/>
      <c r="AMG2" s="573"/>
      <c r="AMH2" s="573"/>
      <c r="AMI2" s="573"/>
      <c r="AMJ2" s="573"/>
      <c r="AMK2" s="573"/>
      <c r="AML2" s="573"/>
      <c r="AMM2" s="573"/>
      <c r="AMN2" s="574"/>
      <c r="AMO2" s="572" t="s">
        <v>535</v>
      </c>
      <c r="AMP2" s="573"/>
      <c r="AMQ2" s="573"/>
      <c r="AMR2" s="573"/>
      <c r="AMS2" s="573"/>
      <c r="AMT2" s="573"/>
      <c r="AMU2" s="573"/>
      <c r="AMV2" s="573"/>
      <c r="AMW2" s="573"/>
      <c r="AMX2" s="573"/>
      <c r="AMY2" s="573"/>
      <c r="AMZ2" s="573"/>
      <c r="ANA2" s="574"/>
      <c r="ANB2" s="572" t="s">
        <v>536</v>
      </c>
      <c r="ANC2" s="573"/>
      <c r="AND2" s="573"/>
      <c r="ANE2" s="573"/>
      <c r="ANF2" s="573"/>
      <c r="ANG2" s="573"/>
      <c r="ANH2" s="573"/>
      <c r="ANI2" s="573"/>
      <c r="ANJ2" s="573"/>
      <c r="ANK2" s="573"/>
      <c r="ANL2" s="573"/>
      <c r="ANM2" s="573"/>
      <c r="ANN2" s="574"/>
      <c r="ANO2" s="572" t="s">
        <v>537</v>
      </c>
      <c r="ANP2" s="573"/>
      <c r="ANQ2" s="573"/>
      <c r="ANR2" s="573"/>
      <c r="ANS2" s="573"/>
      <c r="ANT2" s="573"/>
      <c r="ANU2" s="573"/>
      <c r="ANV2" s="573"/>
      <c r="ANW2" s="573"/>
      <c r="ANX2" s="573"/>
      <c r="ANY2" s="573"/>
      <c r="ANZ2" s="573"/>
      <c r="AOA2" s="574"/>
      <c r="AOB2" s="572" t="s">
        <v>538</v>
      </c>
      <c r="AOC2" s="573"/>
      <c r="AOD2" s="573"/>
      <c r="AOE2" s="573"/>
      <c r="AOF2" s="573"/>
      <c r="AOG2" s="573"/>
      <c r="AOH2" s="573"/>
      <c r="AOI2" s="573"/>
      <c r="AOJ2" s="573"/>
      <c r="AOK2" s="573"/>
      <c r="AOL2" s="573"/>
      <c r="AOM2" s="573"/>
      <c r="AON2" s="574"/>
      <c r="AOO2" s="572" t="s">
        <v>539</v>
      </c>
      <c r="AOP2" s="573"/>
      <c r="AOQ2" s="573"/>
      <c r="AOR2" s="573"/>
      <c r="AOS2" s="573"/>
      <c r="AOT2" s="573"/>
      <c r="AOU2" s="573"/>
      <c r="AOV2" s="573"/>
      <c r="AOW2" s="573"/>
      <c r="AOX2" s="573"/>
      <c r="AOY2" s="573"/>
      <c r="AOZ2" s="573"/>
      <c r="APA2" s="574"/>
      <c r="APB2" s="575" t="s">
        <v>540</v>
      </c>
      <c r="APC2" s="576"/>
      <c r="APD2" s="576"/>
      <c r="APE2" s="576"/>
      <c r="APF2" s="576"/>
      <c r="APG2" s="576"/>
      <c r="APH2" s="576"/>
      <c r="API2" s="576"/>
      <c r="APJ2" s="576"/>
      <c r="APK2" s="576"/>
      <c r="APL2" s="576"/>
      <c r="APM2" s="576"/>
      <c r="APN2" s="577"/>
      <c r="APO2" s="575" t="s">
        <v>541</v>
      </c>
      <c r="APP2" s="576"/>
      <c r="APQ2" s="576"/>
      <c r="APR2" s="576"/>
      <c r="APS2" s="576"/>
      <c r="APT2" s="576"/>
      <c r="APU2" s="576"/>
      <c r="APV2" s="576"/>
      <c r="APW2" s="576"/>
      <c r="APX2" s="576"/>
      <c r="APY2" s="576"/>
      <c r="APZ2" s="576"/>
      <c r="AQA2" s="577"/>
      <c r="AQB2" s="575" t="s">
        <v>542</v>
      </c>
      <c r="AQC2" s="576"/>
      <c r="AQD2" s="576"/>
      <c r="AQE2" s="576"/>
      <c r="AQF2" s="576"/>
      <c r="AQG2" s="576"/>
      <c r="AQH2" s="576"/>
      <c r="AQI2" s="576"/>
      <c r="AQJ2" s="576"/>
      <c r="AQK2" s="576"/>
      <c r="AQL2" s="576"/>
      <c r="AQM2" s="576"/>
      <c r="AQN2" s="577"/>
      <c r="AQO2" s="575" t="s">
        <v>543</v>
      </c>
      <c r="AQP2" s="576"/>
      <c r="AQQ2" s="576"/>
      <c r="AQR2" s="576"/>
      <c r="AQS2" s="576"/>
      <c r="AQT2" s="576"/>
      <c r="AQU2" s="576"/>
      <c r="AQV2" s="576"/>
      <c r="AQW2" s="576"/>
      <c r="AQX2" s="576"/>
      <c r="AQY2" s="576"/>
      <c r="AQZ2" s="576"/>
      <c r="ARA2" s="577"/>
      <c r="ARB2" s="575" t="s">
        <v>544</v>
      </c>
      <c r="ARC2" s="576"/>
      <c r="ARD2" s="576"/>
      <c r="ARE2" s="576"/>
      <c r="ARF2" s="576"/>
      <c r="ARG2" s="576"/>
      <c r="ARH2" s="576"/>
      <c r="ARI2" s="576"/>
      <c r="ARJ2" s="576"/>
      <c r="ARK2" s="576"/>
      <c r="ARL2" s="576"/>
      <c r="ARM2" s="576"/>
      <c r="ARN2" s="577"/>
      <c r="ARO2" s="575" t="s">
        <v>545</v>
      </c>
      <c r="ARP2" s="576"/>
      <c r="ARQ2" s="576"/>
      <c r="ARR2" s="576"/>
      <c r="ARS2" s="576"/>
      <c r="ART2" s="576"/>
      <c r="ARU2" s="576"/>
      <c r="ARV2" s="576"/>
      <c r="ARW2" s="576"/>
      <c r="ARX2" s="576"/>
      <c r="ARY2" s="576"/>
      <c r="ARZ2" s="576"/>
      <c r="ASA2" s="577"/>
      <c r="ASB2" s="575" t="s">
        <v>546</v>
      </c>
      <c r="ASC2" s="576"/>
      <c r="ASD2" s="576"/>
      <c r="ASE2" s="576"/>
      <c r="ASF2" s="576"/>
      <c r="ASG2" s="576"/>
      <c r="ASH2" s="576"/>
      <c r="ASI2" s="576"/>
      <c r="ASJ2" s="576"/>
      <c r="ASK2" s="576"/>
      <c r="ASL2" s="576"/>
      <c r="ASM2" s="576"/>
      <c r="ASN2" s="577"/>
      <c r="ASO2" s="575" t="s">
        <v>547</v>
      </c>
      <c r="ASP2" s="576"/>
      <c r="ASQ2" s="576"/>
      <c r="ASR2" s="576"/>
      <c r="ASS2" s="576"/>
      <c r="AST2" s="576"/>
      <c r="ASU2" s="576"/>
      <c r="ASV2" s="576"/>
      <c r="ASW2" s="576"/>
      <c r="ASX2" s="576"/>
      <c r="ASY2" s="576"/>
      <c r="ASZ2" s="576"/>
      <c r="ATA2" s="577"/>
      <c r="ATB2" s="575" t="s">
        <v>548</v>
      </c>
      <c r="ATC2" s="576"/>
      <c r="ATD2" s="576"/>
      <c r="ATE2" s="576"/>
      <c r="ATF2" s="576"/>
      <c r="ATG2" s="576"/>
      <c r="ATH2" s="576"/>
      <c r="ATI2" s="576"/>
      <c r="ATJ2" s="576"/>
      <c r="ATK2" s="576"/>
      <c r="ATL2" s="576"/>
      <c r="ATM2" s="576"/>
      <c r="ATN2" s="577"/>
      <c r="ATO2" s="575" t="s">
        <v>549</v>
      </c>
      <c r="ATP2" s="576"/>
      <c r="ATQ2" s="576"/>
      <c r="ATR2" s="576"/>
      <c r="ATS2" s="576"/>
      <c r="ATT2" s="576"/>
      <c r="ATU2" s="576"/>
      <c r="ATV2" s="576"/>
      <c r="ATW2" s="576"/>
      <c r="ATX2" s="576"/>
      <c r="ATY2" s="576"/>
      <c r="ATZ2" s="576"/>
      <c r="AUA2" s="577"/>
      <c r="AUB2" s="578" t="s">
        <v>550</v>
      </c>
      <c r="AUC2" s="579"/>
      <c r="AUD2" s="579"/>
      <c r="AUE2" s="579"/>
      <c r="AUF2" s="579"/>
      <c r="AUG2" s="579"/>
      <c r="AUH2" s="579"/>
      <c r="AUI2" s="579"/>
      <c r="AUJ2" s="579"/>
      <c r="AUK2" s="579"/>
      <c r="AUL2" s="579"/>
      <c r="AUM2" s="579"/>
      <c r="AUN2" s="580"/>
      <c r="AUO2" s="578" t="s">
        <v>551</v>
      </c>
      <c r="AUP2" s="579"/>
      <c r="AUQ2" s="579"/>
      <c r="AUR2" s="579"/>
      <c r="AUS2" s="579"/>
      <c r="AUT2" s="579"/>
      <c r="AUU2" s="579"/>
      <c r="AUV2" s="579"/>
      <c r="AUW2" s="579"/>
      <c r="AUX2" s="579"/>
      <c r="AUY2" s="579"/>
      <c r="AUZ2" s="579"/>
      <c r="AVA2" s="581"/>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ATO2:AUA2"/>
    <mergeCell ref="AUB2:AUN2"/>
    <mergeCell ref="AUO2:AVA2"/>
    <mergeCell ref="AQO2:ARA2"/>
    <mergeCell ref="ARB2:ARN2"/>
    <mergeCell ref="ARO2:ASA2"/>
    <mergeCell ref="ASB2:ASN2"/>
    <mergeCell ref="ASO2:ATA2"/>
    <mergeCell ref="ATB2:AT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IB2:AIN2"/>
    <mergeCell ref="AIO2:AJA2"/>
    <mergeCell ref="AJB2:AJN2"/>
    <mergeCell ref="AJO2:AKA2"/>
    <mergeCell ref="AKB2:AKN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BB2:ABN2"/>
    <mergeCell ref="WB2:WN2"/>
    <mergeCell ref="WO2:XA2"/>
    <mergeCell ref="XB2:XN2"/>
    <mergeCell ref="XO2:YA2"/>
    <mergeCell ref="YB2:YN2"/>
    <mergeCell ref="YO2:ZA2"/>
    <mergeCell ref="ZB2:ZN2"/>
    <mergeCell ref="ZO2:AAA2"/>
    <mergeCell ref="AAB2:AAN2"/>
    <mergeCell ref="AAO2:ABA2"/>
    <mergeCell ref="TO2:UA2"/>
    <mergeCell ref="UB2:UN2"/>
    <mergeCell ref="UO2:VA2"/>
    <mergeCell ref="VB2:VN2"/>
    <mergeCell ref="VO2:WA2"/>
    <mergeCell ref="RB2:RN2"/>
    <mergeCell ref="RO2:SA2"/>
    <mergeCell ref="SB2:SN2"/>
    <mergeCell ref="SO2:TA2"/>
    <mergeCell ref="TB2:TN2"/>
    <mergeCell ref="QO2:RA2"/>
    <mergeCell ref="LB2:LN2"/>
    <mergeCell ref="LO2:MA2"/>
    <mergeCell ref="MB2:MN2"/>
    <mergeCell ref="MO2:NA2"/>
    <mergeCell ref="NB2:NN2"/>
    <mergeCell ref="NO2:OA2"/>
    <mergeCell ref="OB2:ON2"/>
    <mergeCell ref="OO2:PA2"/>
    <mergeCell ref="PB2:PN2"/>
    <mergeCell ref="PO2:QA2"/>
    <mergeCell ref="QB2:QN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BO2:CA2"/>
    <mergeCell ref="CB2:CN2"/>
    <mergeCell ref="CO2:DA2"/>
    <mergeCell ref="DB2:DN2"/>
    <mergeCell ref="DO2:EA2"/>
    <mergeCell ref="B2:N2"/>
    <mergeCell ref="O2:AA2"/>
    <mergeCell ref="AB2:AN2"/>
    <mergeCell ref="AO2:BA2"/>
    <mergeCell ref="BB2:B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2025-02-19T21:21:52Z</dcterms:modified>
</cp:coreProperties>
</file>