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J33" i="44"/>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44"/>
  <c r="G64" i="53" s="1"/>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44"/>
  <c r="J44" i="53" s="1"/>
  <c r="I44" i="44"/>
  <c r="I44" i="53" s="1"/>
  <c r="H44" i="44"/>
  <c r="H44" i="53" s="1"/>
  <c r="G44" i="44"/>
  <c r="G44" i="53" s="1"/>
  <c r="F44" i="53"/>
  <c r="P43" i="44"/>
  <c r="P43" i="53" s="1"/>
  <c r="O43" i="44"/>
  <c r="O43" i="53" s="1"/>
  <c r="N43" i="44"/>
  <c r="N43" i="53" s="1"/>
  <c r="M43" i="44"/>
  <c r="M43" i="53" s="1"/>
  <c r="L43" i="44"/>
  <c r="L43" i="53" s="1"/>
  <c r="K43" i="44"/>
  <c r="K43" i="53" s="1"/>
  <c r="J43" i="44"/>
  <c r="J43" i="53" s="1"/>
  <c r="I43" i="44"/>
  <c r="I43" i="53" s="1"/>
  <c r="H43" i="44"/>
  <c r="H43" i="53" s="1"/>
  <c r="G43" i="44"/>
  <c r="G43" i="53" s="1"/>
  <c r="F43" i="53"/>
  <c r="P42" i="44"/>
  <c r="P42" i="53" s="1"/>
  <c r="O42" i="44"/>
  <c r="O42" i="53" s="1"/>
  <c r="N42" i="44"/>
  <c r="N42" i="53" s="1"/>
  <c r="M42" i="44"/>
  <c r="M42" i="53" s="1"/>
  <c r="L42" i="44"/>
  <c r="L42" i="53" s="1"/>
  <c r="K42" i="44"/>
  <c r="K42" i="53" s="1"/>
  <c r="J42" i="44"/>
  <c r="J42" i="53" s="1"/>
  <c r="I42" i="44"/>
  <c r="I42" i="53" s="1"/>
  <c r="H42" i="44"/>
  <c r="H42" i="53" s="1"/>
  <c r="G42" i="44"/>
  <c r="G42" i="53" s="1"/>
  <c r="F42" i="53"/>
  <c r="P41" i="44"/>
  <c r="P41" i="53" s="1"/>
  <c r="O41" i="44"/>
  <c r="O41" i="53" s="1"/>
  <c r="N41" i="44"/>
  <c r="N41" i="53" s="1"/>
  <c r="M41" i="44"/>
  <c r="M41" i="53" s="1"/>
  <c r="L41" i="44"/>
  <c r="L41" i="53" s="1"/>
  <c r="K41" i="44"/>
  <c r="K41" i="53" s="1"/>
  <c r="J41" i="44"/>
  <c r="J41" i="53" s="1"/>
  <c r="I41" i="44"/>
  <c r="I41" i="53" s="1"/>
  <c r="H41" i="44"/>
  <c r="H41" i="53" s="1"/>
  <c r="G41" i="44"/>
  <c r="G41" i="53" s="1"/>
  <c r="F41" i="53"/>
  <c r="P40" i="44"/>
  <c r="P40" i="53" s="1"/>
  <c r="O40" i="44"/>
  <c r="O40" i="53" s="1"/>
  <c r="N40" i="44"/>
  <c r="N40" i="53" s="1"/>
  <c r="M40" i="44"/>
  <c r="M40" i="53" s="1"/>
  <c r="L40" i="44"/>
  <c r="L40" i="53" s="1"/>
  <c r="K40" i="44"/>
  <c r="K40" i="53" s="1"/>
  <c r="J40" i="44"/>
  <c r="J40" i="53" s="1"/>
  <c r="I40" i="44"/>
  <c r="I40" i="53" s="1"/>
  <c r="H40" i="44"/>
  <c r="H40" i="53" s="1"/>
  <c r="G40" i="44"/>
  <c r="G40" i="53" s="1"/>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44"/>
  <c r="G45" i="53" s="1"/>
  <c r="H45" i="44"/>
  <c r="H45" i="53" s="1"/>
  <c r="I45" i="44"/>
  <c r="I45" i="53" s="1"/>
  <c r="J45" i="44"/>
  <c r="J45" i="53" s="1"/>
  <c r="K45" i="44"/>
  <c r="K45" i="53" s="1"/>
  <c r="L45" i="44"/>
  <c r="L45" i="53" s="1"/>
  <c r="F46" i="53"/>
  <c r="G46" i="44"/>
  <c r="G46" i="53" s="1"/>
  <c r="H46" i="44"/>
  <c r="H46" i="53" s="1"/>
  <c r="I46" i="44"/>
  <c r="I46" i="53" s="1"/>
  <c r="J46" i="44"/>
  <c r="J46" i="53" s="1"/>
  <c r="K46" i="44"/>
  <c r="K46" i="53" s="1"/>
  <c r="L46" i="44"/>
  <c r="L46" i="53" s="1"/>
  <c r="F47" i="53"/>
  <c r="G47" i="44"/>
  <c r="G47" i="53" s="1"/>
  <c r="H47" i="44"/>
  <c r="H47" i="53" s="1"/>
  <c r="I47" i="44"/>
  <c r="I47" i="53" s="1"/>
  <c r="J47" i="44"/>
  <c r="J47" i="53" s="1"/>
  <c r="K47" i="44"/>
  <c r="K47" i="53" s="1"/>
  <c r="L47" i="44"/>
  <c r="L47" i="53" s="1"/>
  <c r="F48" i="53"/>
  <c r="G48" i="44"/>
  <c r="G48" i="53" s="1"/>
  <c r="H48" i="44"/>
  <c r="H48" i="53" s="1"/>
  <c r="I48" i="44"/>
  <c r="I48" i="53" s="1"/>
  <c r="J48" i="44"/>
  <c r="J48" i="53" s="1"/>
  <c r="K48" i="44"/>
  <c r="K48" i="53" s="1"/>
  <c r="L48" i="44"/>
  <c r="L48" i="53" s="1"/>
  <c r="F49" i="53"/>
  <c r="G49" i="44"/>
  <c r="G49" i="53" s="1"/>
  <c r="H49" i="44"/>
  <c r="H49" i="53" s="1"/>
  <c r="I49" i="44"/>
  <c r="I49" i="53" s="1"/>
  <c r="J49" i="44"/>
  <c r="J49" i="53" s="1"/>
  <c r="K49" i="44"/>
  <c r="K49" i="53" s="1"/>
  <c r="L49" i="44"/>
  <c r="L49" i="53" s="1"/>
  <c r="F50" i="53"/>
  <c r="G50" i="44"/>
  <c r="G50" i="53" s="1"/>
  <c r="H50" i="44"/>
  <c r="H50" i="53" s="1"/>
  <c r="I50" i="44"/>
  <c r="I50" i="53" s="1"/>
  <c r="J50" i="44"/>
  <c r="J50" i="53" s="1"/>
  <c r="K50" i="44"/>
  <c r="K50" i="53" s="1"/>
  <c r="L50" i="44"/>
  <c r="L50" i="53" s="1"/>
  <c r="F51" i="53"/>
  <c r="G51" i="44"/>
  <c r="G51" i="53" s="1"/>
  <c r="H51" i="44"/>
  <c r="H51" i="53" s="1"/>
  <c r="I51" i="44"/>
  <c r="I51" i="53" s="1"/>
  <c r="J51" i="44"/>
  <c r="J51" i="53" s="1"/>
  <c r="K51" i="44"/>
  <c r="K51" i="53" s="1"/>
  <c r="L51" i="44"/>
  <c r="L51" i="53" s="1"/>
  <c r="F52" i="53"/>
  <c r="G52" i="44"/>
  <c r="G52" i="53" s="1"/>
  <c r="H52" i="44"/>
  <c r="H52" i="53" s="1"/>
  <c r="I52" i="44"/>
  <c r="I52" i="53" s="1"/>
  <c r="J52" i="44"/>
  <c r="J52" i="53" s="1"/>
  <c r="K52" i="44"/>
  <c r="K52" i="53" s="1"/>
  <c r="L52" i="44"/>
  <c r="L52" i="53" s="1"/>
  <c r="F53" i="53"/>
  <c r="G53" i="44"/>
  <c r="G53" i="53" s="1"/>
  <c r="H53" i="44"/>
  <c r="H53" i="53" s="1"/>
  <c r="I53" i="44"/>
  <c r="I53" i="53" s="1"/>
  <c r="J53" i="44"/>
  <c r="J53" i="53" s="1"/>
  <c r="K53" i="44"/>
  <c r="K53" i="53" s="1"/>
  <c r="L53" i="44"/>
  <c r="L53" i="53" s="1"/>
  <c r="F54" i="53"/>
  <c r="G54" i="44"/>
  <c r="G54" i="53" s="1"/>
  <c r="H54" i="44"/>
  <c r="H54" i="53" s="1"/>
  <c r="I54" i="44"/>
  <c r="I54" i="53" s="1"/>
  <c r="J54" i="44"/>
  <c r="J54" i="53" s="1"/>
  <c r="K54" i="44"/>
  <c r="K54" i="53" s="1"/>
  <c r="L54" i="44"/>
  <c r="L54" i="53" s="1"/>
  <c r="F55" i="53"/>
  <c r="G55" i="44"/>
  <c r="G55" i="53" s="1"/>
  <c r="H55" i="44"/>
  <c r="H55" i="53" s="1"/>
  <c r="I55" i="44"/>
  <c r="I55" i="53" s="1"/>
  <c r="J55" i="44"/>
  <c r="J55" i="53" s="1"/>
  <c r="K55" i="44"/>
  <c r="K55" i="53" s="1"/>
  <c r="L55" i="44"/>
  <c r="L55" i="53" s="1"/>
  <c r="F56" i="53"/>
  <c r="G56" i="44"/>
  <c r="G56" i="53" s="1"/>
  <c r="H56" i="44"/>
  <c r="H56" i="53" s="1"/>
  <c r="I56" i="44"/>
  <c r="I56" i="53" s="1"/>
  <c r="J56" i="44"/>
  <c r="J56" i="53" s="1"/>
  <c r="K56" i="44"/>
  <c r="K56" i="53" s="1"/>
  <c r="L56" i="44"/>
  <c r="L56" i="53" s="1"/>
  <c r="F57" i="53"/>
  <c r="G57" i="44"/>
  <c r="G57" i="53" s="1"/>
  <c r="H57" i="44"/>
  <c r="H57" i="53" s="1"/>
  <c r="I57" i="44"/>
  <c r="I57" i="53" s="1"/>
  <c r="J57" i="44"/>
  <c r="J57" i="53" s="1"/>
  <c r="K57" i="44"/>
  <c r="K57" i="53" s="1"/>
  <c r="L57" i="44"/>
  <c r="L57" i="53" s="1"/>
  <c r="F58" i="53"/>
  <c r="G58" i="44"/>
  <c r="G58" i="53" s="1"/>
  <c r="H58" i="44"/>
  <c r="H58" i="53" s="1"/>
  <c r="I58" i="44"/>
  <c r="I58" i="53" s="1"/>
  <c r="J58" i="44"/>
  <c r="J58" i="53" s="1"/>
  <c r="K58" i="44"/>
  <c r="K58" i="53" s="1"/>
  <c r="L58" i="44"/>
  <c r="L58" i="53" s="1"/>
  <c r="F59" i="53"/>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44"/>
  <c r="H71" i="53" s="1"/>
  <c r="G71" i="44"/>
  <c r="G71" i="53" s="1"/>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44"/>
  <c r="I68" i="53" s="1"/>
  <c r="H68" i="44"/>
  <c r="H68" i="53" s="1"/>
  <c r="G68" i="44"/>
  <c r="G68" i="53" s="1"/>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44"/>
  <c r="I65" i="53" s="1"/>
  <c r="H65" i="44"/>
  <c r="H65" i="53" s="1"/>
  <c r="G65" i="44"/>
  <c r="G65" i="53" s="1"/>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44"/>
  <c r="I67" i="53" s="1"/>
  <c r="H67" i="44"/>
  <c r="H67" i="53" s="1"/>
  <c r="G67" i="44"/>
  <c r="G67" i="53" s="1"/>
  <c r="L66" i="44"/>
  <c r="L66" i="53" s="1"/>
  <c r="K66" i="44"/>
  <c r="K66" i="53" s="1"/>
  <c r="J66" i="44"/>
  <c r="J66" i="53" s="1"/>
  <c r="I66" i="44"/>
  <c r="I66" i="53" s="1"/>
  <c r="H66" i="44"/>
  <c r="H66" i="53" s="1"/>
  <c r="G66" i="44"/>
  <c r="G66" i="53" s="1"/>
  <c r="L64" i="44"/>
  <c r="L64" i="53" s="1"/>
  <c r="K64" i="44"/>
  <c r="K64" i="53" s="1"/>
  <c r="J64" i="44"/>
  <c r="J64" i="53" s="1"/>
  <c r="I64" i="44"/>
  <c r="I64" i="53" s="1"/>
  <c r="H64" i="44"/>
  <c r="H64" i="53" s="1"/>
  <c r="L63" i="44"/>
  <c r="L63" i="53" s="1"/>
  <c r="K63" i="44"/>
  <c r="K63" i="53" s="1"/>
  <c r="J63" i="44"/>
  <c r="J63" i="53" s="1"/>
  <c r="I63" i="44"/>
  <c r="I63" i="53" s="1"/>
  <c r="H63" i="44"/>
  <c r="H63" i="53" s="1"/>
  <c r="G63" i="44"/>
  <c r="G63" i="53" s="1"/>
  <c r="K70" i="44"/>
  <c r="K70" i="53" s="1"/>
  <c r="J70" i="44"/>
  <c r="J70" i="53" s="1"/>
  <c r="I70" i="44"/>
  <c r="I70" i="53" s="1"/>
  <c r="H70" i="44"/>
  <c r="H70" i="53" s="1"/>
  <c r="G70" i="44"/>
  <c r="G70" i="53" s="1"/>
  <c r="K69" i="44"/>
  <c r="K69" i="53" s="1"/>
  <c r="J69" i="44"/>
  <c r="J69" i="53" s="1"/>
  <c r="I69" i="44"/>
  <c r="I69" i="53" s="1"/>
  <c r="H69" i="44"/>
  <c r="H69" i="53" s="1"/>
  <c r="G69" i="44"/>
  <c r="G69" i="53" s="1"/>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44"/>
  <c r="L84" i="53" s="1"/>
  <c r="K84" i="44"/>
  <c r="K84" i="53" s="1"/>
  <c r="J84" i="44"/>
  <c r="J84" i="53" s="1"/>
  <c r="I84" i="44"/>
  <c r="I84" i="53" s="1"/>
  <c r="H84" i="44"/>
  <c r="H84" i="53" s="1"/>
  <c r="G84" i="44"/>
  <c r="G84" i="53" s="1"/>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44"/>
  <c r="I80" i="53" s="1"/>
  <c r="H80" i="44"/>
  <c r="H80" i="53" s="1"/>
  <c r="G80" i="44"/>
  <c r="G80" i="53" s="1"/>
  <c r="F80" i="53"/>
  <c r="E80" i="53"/>
  <c r="E81" i="53"/>
  <c r="F81" i="53"/>
  <c r="G81" i="44"/>
  <c r="G81" i="53" s="1"/>
  <c r="H81" i="44"/>
  <c r="H81" i="53" s="1"/>
  <c r="I81" i="44"/>
  <c r="I81" i="53" s="1"/>
  <c r="J81" i="44"/>
  <c r="J81" i="53" s="1"/>
  <c r="K81" i="44"/>
  <c r="K81" i="53" s="1"/>
  <c r="L81" i="44"/>
  <c r="L81" i="53" s="1"/>
  <c r="E82" i="53"/>
  <c r="F82" i="53"/>
  <c r="G82" i="44"/>
  <c r="G82" i="53" s="1"/>
  <c r="H82" i="44"/>
  <c r="H82" i="53" s="1"/>
  <c r="I82" i="44"/>
  <c r="I82" i="53" s="1"/>
  <c r="J82" i="44"/>
  <c r="J82" i="53" s="1"/>
  <c r="K82" i="44"/>
  <c r="K82" i="53" s="1"/>
  <c r="L82" i="44"/>
  <c r="L82" i="53" s="1"/>
  <c r="E83" i="53"/>
  <c r="F83" i="53"/>
  <c r="G83" i="44"/>
  <c r="G83" i="53" s="1"/>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44"/>
  <c r="I79" i="53" s="1"/>
  <c r="H79" i="44"/>
  <c r="H79" i="53" s="1"/>
  <c r="G79" i="44"/>
  <c r="G79" i="53" s="1"/>
  <c r="F79" i="53"/>
  <c r="E79" i="53"/>
  <c r="L78" i="44"/>
  <c r="L78" i="53" s="1"/>
  <c r="K78" i="44"/>
  <c r="K78" i="53" s="1"/>
  <c r="J78" i="44"/>
  <c r="J78" i="53" s="1"/>
  <c r="I78" i="44"/>
  <c r="I78" i="53" s="1"/>
  <c r="H78" i="44"/>
  <c r="H78" i="53" s="1"/>
  <c r="G78" i="44"/>
  <c r="G78" i="53" s="1"/>
  <c r="F78" i="53"/>
  <c r="E78" i="53"/>
  <c r="L77" i="44"/>
  <c r="L77" i="53" s="1"/>
  <c r="K77" i="44"/>
  <c r="K77" i="53" s="1"/>
  <c r="J77" i="44"/>
  <c r="J77" i="53" s="1"/>
  <c r="I77" i="44"/>
  <c r="I77" i="53" s="1"/>
  <c r="H77" i="44"/>
  <c r="H77" i="53" s="1"/>
  <c r="G77" i="44"/>
  <c r="G77" i="53" s="1"/>
  <c r="F77" i="53"/>
  <c r="E77" i="53"/>
  <c r="F85" i="53"/>
  <c r="G85" i="44"/>
  <c r="G85" i="53" s="1"/>
  <c r="H85" i="44"/>
  <c r="H85" i="53" s="1"/>
  <c r="I85" i="44"/>
  <c r="I85" i="53" s="1"/>
  <c r="J85" i="44"/>
  <c r="J85" i="53" s="1"/>
  <c r="K85" i="44"/>
  <c r="K85" i="53" s="1"/>
  <c r="L85" i="44"/>
  <c r="L85" i="53" s="1"/>
  <c r="E86" i="53"/>
  <c r="F86" i="53"/>
  <c r="G86" i="44"/>
  <c r="G86" i="53" s="1"/>
  <c r="H86" i="44"/>
  <c r="H86" i="53" s="1"/>
  <c r="I86" i="44"/>
  <c r="I86" i="53" s="1"/>
  <c r="J86" i="44"/>
  <c r="J86" i="53" s="1"/>
  <c r="K86" i="44"/>
  <c r="K86" i="53" s="1"/>
  <c r="L86" i="44"/>
  <c r="L86" i="53" s="1"/>
  <c r="E87" i="53"/>
  <c r="F87" i="53"/>
  <c r="G87" i="44"/>
  <c r="G87" i="53" s="1"/>
  <c r="H87" i="44"/>
  <c r="H87" i="53" s="1"/>
  <c r="I87" i="44"/>
  <c r="I87" i="53" s="1"/>
  <c r="J87" i="44"/>
  <c r="J87" i="53" s="1"/>
  <c r="K87" i="44"/>
  <c r="K87" i="53" s="1"/>
  <c r="L87" i="44"/>
  <c r="L87" i="53" s="1"/>
  <c r="E88" i="44"/>
  <c r="E88" i="53" s="1"/>
  <c r="F88" i="53"/>
  <c r="G88" i="44"/>
  <c r="G88" i="53" s="1"/>
  <c r="H88" i="44"/>
  <c r="H88" i="53" s="1"/>
  <c r="I88" i="44"/>
  <c r="I88" i="53" s="1"/>
  <c r="J88" i="44"/>
  <c r="J88" i="53" s="1"/>
  <c r="K88" i="44"/>
  <c r="K88" i="53" s="1"/>
  <c r="L88" i="44"/>
  <c r="L88" i="53" s="1"/>
  <c r="E89" i="53"/>
  <c r="F89" i="53"/>
  <c r="G89" i="44"/>
  <c r="G89" i="53" s="1"/>
  <c r="H89" i="44"/>
  <c r="H89" i="53" s="1"/>
  <c r="I89" i="44"/>
  <c r="I89" i="53" s="1"/>
  <c r="J89" i="44"/>
  <c r="J89" i="53" s="1"/>
  <c r="K89" i="44"/>
  <c r="K89" i="53" s="1"/>
  <c r="L89" i="44"/>
  <c r="L89" i="53" s="1"/>
  <c r="E90" i="44"/>
  <c r="E90" i="53" s="1"/>
  <c r="F90" i="53"/>
  <c r="G90" i="44"/>
  <c r="G90" i="53" s="1"/>
  <c r="H90" i="44"/>
  <c r="H90" i="53" s="1"/>
  <c r="I90" i="44"/>
  <c r="I90" i="53" s="1"/>
  <c r="J90" i="44"/>
  <c r="J90" i="53" s="1"/>
  <c r="K90" i="44"/>
  <c r="K90" i="53" s="1"/>
  <c r="L90" i="44"/>
  <c r="L90" i="53" s="1"/>
  <c r="E91" i="44"/>
  <c r="E91" i="53" s="1"/>
  <c r="F91" i="53"/>
  <c r="G91" i="44"/>
  <c r="G91" i="53" s="1"/>
  <c r="H91" i="44"/>
  <c r="H91" i="53" s="1"/>
  <c r="I91" i="44"/>
  <c r="I91" i="53" s="1"/>
  <c r="J91" i="44"/>
  <c r="J91" i="53" s="1"/>
  <c r="K91" i="44"/>
  <c r="K91" i="53" s="1"/>
  <c r="L91" i="44"/>
  <c r="L91" i="53" s="1"/>
  <c r="E92" i="44"/>
  <c r="E92" i="53" s="1"/>
  <c r="F92" i="53"/>
  <c r="G92" i="44"/>
  <c r="G92" i="53" s="1"/>
  <c r="H92" i="44"/>
  <c r="H92" i="53" s="1"/>
  <c r="I92" i="44"/>
  <c r="I92" i="53" s="1"/>
  <c r="J92" i="44"/>
  <c r="J92" i="53" s="1"/>
  <c r="K92" i="44"/>
  <c r="K92" i="53" s="1"/>
  <c r="L92" i="44"/>
  <c r="L92" i="53" s="1"/>
  <c r="E93" i="44"/>
  <c r="E93" i="53" s="1"/>
  <c r="F93" i="53"/>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44"/>
  <c r="I102" i="53" s="1"/>
  <c r="H102" i="44"/>
  <c r="H102" i="53" s="1"/>
  <c r="G102" i="44"/>
  <c r="G102" i="53" s="1"/>
  <c r="F102" i="53"/>
  <c r="E102" i="53"/>
  <c r="P104" i="44"/>
  <c r="P104" i="53" s="1"/>
  <c r="O104" i="44"/>
  <c r="O104" i="53" s="1"/>
  <c r="N104" i="44"/>
  <c r="N104" i="53" s="1"/>
  <c r="M104" i="44"/>
  <c r="M104" i="53" s="1"/>
  <c r="P103" i="44"/>
  <c r="P103" i="53" s="1"/>
  <c r="O103" i="44"/>
  <c r="O103" i="53" s="1"/>
  <c r="N103" i="44"/>
  <c r="N103" i="53" s="1"/>
  <c r="M103" i="44"/>
  <c r="M103" i="53" s="1"/>
  <c r="E103" i="53"/>
  <c r="F103" i="53"/>
  <c r="G103" i="44"/>
  <c r="G103" i="53" s="1"/>
  <c r="H103" i="44"/>
  <c r="H103" i="53" s="1"/>
  <c r="I103" i="44"/>
  <c r="I103" i="53" s="1"/>
  <c r="J103" i="44"/>
  <c r="J103" i="53" s="1"/>
  <c r="K103" i="44"/>
  <c r="K103" i="53" s="1"/>
  <c r="L103" i="44"/>
  <c r="L103" i="53" s="1"/>
  <c r="E104" i="53"/>
  <c r="F104" i="53"/>
  <c r="G104" i="44"/>
  <c r="G104" i="53" s="1"/>
  <c r="H104" i="44"/>
  <c r="H104" i="53" s="1"/>
  <c r="I104" i="44"/>
  <c r="I104" i="53" s="1"/>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44"/>
  <c r="I105" i="53" s="1"/>
  <c r="H105" i="44"/>
  <c r="H105" i="53" s="1"/>
  <c r="G105" i="44"/>
  <c r="G105" i="53" s="1"/>
  <c r="F105" i="53"/>
  <c r="E105" i="53"/>
  <c r="P106" i="44"/>
  <c r="P106" i="53" s="1"/>
  <c r="O106" i="44"/>
  <c r="O106" i="53" s="1"/>
  <c r="N106" i="44"/>
  <c r="N106" i="53" s="1"/>
  <c r="M106" i="44"/>
  <c r="M106" i="53" s="1"/>
  <c r="L106" i="44"/>
  <c r="L106" i="53" s="1"/>
  <c r="K106" i="44"/>
  <c r="K106" i="53" s="1"/>
  <c r="J106" i="44"/>
  <c r="J106" i="53" s="1"/>
  <c r="I106" i="44"/>
  <c r="I106" i="53" s="1"/>
  <c r="H106" i="44"/>
  <c r="H106" i="53" s="1"/>
  <c r="G106" i="44"/>
  <c r="G106" i="53" s="1"/>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53"/>
  <c r="E107" i="44"/>
  <c r="E107" i="53" s="1"/>
  <c r="L101" i="44"/>
  <c r="L101" i="53" s="1"/>
  <c r="K101" i="44"/>
  <c r="K101" i="53" s="1"/>
  <c r="J101" i="44"/>
  <c r="J101" i="53" s="1"/>
  <c r="I101" i="44"/>
  <c r="I101" i="53" s="1"/>
  <c r="H101" i="44"/>
  <c r="H101" i="53" s="1"/>
  <c r="G101" i="44"/>
  <c r="G101" i="53" s="1"/>
  <c r="F101" i="53"/>
  <c r="E101" i="53"/>
  <c r="L100" i="44"/>
  <c r="L100" i="53" s="1"/>
  <c r="K100" i="44"/>
  <c r="K100" i="53" s="1"/>
  <c r="J100" i="44"/>
  <c r="J100" i="53" s="1"/>
  <c r="I100" i="44"/>
  <c r="I100" i="53" s="1"/>
  <c r="H100" i="44"/>
  <c r="H100" i="53" s="1"/>
  <c r="G100" i="44"/>
  <c r="G100" i="53" s="1"/>
  <c r="F100" i="53"/>
  <c r="E100" i="53"/>
  <c r="L99" i="44"/>
  <c r="L99" i="53" s="1"/>
  <c r="K99" i="44"/>
  <c r="K99" i="53" s="1"/>
  <c r="J99" i="44"/>
  <c r="J99" i="53" s="1"/>
  <c r="I99" i="44"/>
  <c r="I99" i="53" s="1"/>
  <c r="H99" i="44"/>
  <c r="H99" i="53" s="1"/>
  <c r="G99" i="44"/>
  <c r="G99" i="53" s="1"/>
  <c r="F99" i="53"/>
  <c r="E99" i="53"/>
  <c r="L98" i="44"/>
  <c r="L98" i="53" s="1"/>
  <c r="K98" i="44"/>
  <c r="K98" i="53" s="1"/>
  <c r="J98" i="44"/>
  <c r="J98" i="53" s="1"/>
  <c r="I98" i="44"/>
  <c r="I98" i="53" s="1"/>
  <c r="H98" i="44"/>
  <c r="H98" i="53" s="1"/>
  <c r="G98" i="44"/>
  <c r="G98" i="53" s="1"/>
  <c r="F98" i="53"/>
  <c r="E98" i="53"/>
  <c r="L97" i="44"/>
  <c r="L97" i="53" s="1"/>
  <c r="K97" i="44"/>
  <c r="K97" i="53" s="1"/>
  <c r="J97" i="44"/>
  <c r="J97" i="53" s="1"/>
  <c r="I97" i="44"/>
  <c r="I97" i="53" s="1"/>
  <c r="H97" i="44"/>
  <c r="H97" i="53" s="1"/>
  <c r="G97" i="44"/>
  <c r="G97" i="53" s="1"/>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53"/>
  <c r="E118" i="44"/>
  <c r="E118" i="53" s="1"/>
  <c r="L117" i="44"/>
  <c r="L117" i="53" s="1"/>
  <c r="K117" i="44"/>
  <c r="K117" i="53" s="1"/>
  <c r="J117" i="44"/>
  <c r="J117" i="53" s="1"/>
  <c r="I117" i="44"/>
  <c r="I117" i="53" s="1"/>
  <c r="H117" i="44"/>
  <c r="H117" i="53" s="1"/>
  <c r="G117" i="44"/>
  <c r="G117" i="53" s="1"/>
  <c r="F117" i="53"/>
  <c r="E117" i="44"/>
  <c r="E117" i="53" s="1"/>
  <c r="L116" i="44"/>
  <c r="L116" i="53" s="1"/>
  <c r="K116" i="44"/>
  <c r="K116" i="53" s="1"/>
  <c r="J116" i="44"/>
  <c r="J116" i="53" s="1"/>
  <c r="I116" i="44"/>
  <c r="I116" i="53" s="1"/>
  <c r="H116" i="44"/>
  <c r="H116" i="53" s="1"/>
  <c r="G116" i="44"/>
  <c r="G116" i="53" s="1"/>
  <c r="F116" i="53"/>
  <c r="E116" i="44"/>
  <c r="E116" i="53" s="1"/>
  <c r="L115" i="44"/>
  <c r="L115" i="53" s="1"/>
  <c r="K115" i="44"/>
  <c r="K115" i="53" s="1"/>
  <c r="J115" i="44"/>
  <c r="J115" i="53" s="1"/>
  <c r="I115" i="44"/>
  <c r="I115" i="53" s="1"/>
  <c r="H115" i="44"/>
  <c r="H115" i="53" s="1"/>
  <c r="G115" i="44"/>
  <c r="G115" i="53" s="1"/>
  <c r="F115" i="53"/>
  <c r="E115" i="53"/>
  <c r="L114" i="44"/>
  <c r="L114" i="53" s="1"/>
  <c r="K114" i="44"/>
  <c r="K114" i="53" s="1"/>
  <c r="J114" i="44"/>
  <c r="J114" i="53" s="1"/>
  <c r="I114" i="44"/>
  <c r="I114" i="53" s="1"/>
  <c r="H114" i="44"/>
  <c r="H114" i="53" s="1"/>
  <c r="G114" i="44"/>
  <c r="G114" i="53" s="1"/>
  <c r="F114" i="53"/>
  <c r="E114" i="44"/>
  <c r="E114" i="53" s="1"/>
  <c r="L113" i="44"/>
  <c r="L113" i="53" s="1"/>
  <c r="K113" i="44"/>
  <c r="K113" i="53" s="1"/>
  <c r="J113" i="44"/>
  <c r="J113" i="53" s="1"/>
  <c r="I113" i="44"/>
  <c r="I113" i="53" s="1"/>
  <c r="H113" i="44"/>
  <c r="H113" i="53" s="1"/>
  <c r="G113" i="44"/>
  <c r="G113" i="53" s="1"/>
  <c r="F113" i="53"/>
  <c r="E113" i="44"/>
  <c r="E113" i="53" s="1"/>
  <c r="L112" i="44"/>
  <c r="L112" i="53" s="1"/>
  <c r="K112" i="44"/>
  <c r="K112" i="53" s="1"/>
  <c r="J112" i="44"/>
  <c r="J112" i="53" s="1"/>
  <c r="I112" i="44"/>
  <c r="I112" i="53" s="1"/>
  <c r="H112" i="44"/>
  <c r="H112" i="53" s="1"/>
  <c r="G112" i="44"/>
  <c r="G112" i="53" s="1"/>
  <c r="F112" i="53"/>
  <c r="E112" i="44"/>
  <c r="E112" i="53" s="1"/>
  <c r="L111" i="44"/>
  <c r="L111" i="53" s="1"/>
  <c r="K111" i="44"/>
  <c r="K111" i="53" s="1"/>
  <c r="J111" i="44"/>
  <c r="J111" i="53" s="1"/>
  <c r="I111" i="44"/>
  <c r="I111" i="53" s="1"/>
  <c r="H111" i="44"/>
  <c r="H111" i="53" s="1"/>
  <c r="G111" i="44"/>
  <c r="G111" i="53" s="1"/>
  <c r="F111" i="53"/>
  <c r="E111" i="53"/>
  <c r="P123" i="44"/>
  <c r="P123" i="53" s="1"/>
  <c r="O123" i="44"/>
  <c r="O123" i="53" s="1"/>
  <c r="N123" i="44"/>
  <c r="N123" i="53" s="1"/>
  <c r="M123" i="44"/>
  <c r="M123" i="53" s="1"/>
  <c r="L123" i="44"/>
  <c r="L123" i="53" s="1"/>
  <c r="K123" i="44"/>
  <c r="K123" i="53" s="1"/>
  <c r="J123" i="44"/>
  <c r="J123" i="53" s="1"/>
  <c r="I123" i="44"/>
  <c r="I123" i="53" s="1"/>
  <c r="H123" i="44"/>
  <c r="H123" i="53" s="1"/>
  <c r="G123" i="44"/>
  <c r="G123" i="53" s="1"/>
  <c r="F123" i="53"/>
  <c r="E123" i="53"/>
  <c r="P39" i="44"/>
  <c r="P39" i="53" s="1"/>
  <c r="O39" i="44"/>
  <c r="O39" i="53" s="1"/>
  <c r="N39" i="44"/>
  <c r="N39" i="53" s="1"/>
  <c r="M39" i="44"/>
  <c r="M39" i="53" s="1"/>
  <c r="L39" i="44"/>
  <c r="L39" i="53" s="1"/>
  <c r="K39" i="44"/>
  <c r="K39" i="53" s="1"/>
  <c r="J39" i="44"/>
  <c r="J39" i="53" s="1"/>
  <c r="I39" i="44"/>
  <c r="I39" i="53" s="1"/>
  <c r="H39" i="44"/>
  <c r="H39" i="53" s="1"/>
  <c r="G39" i="44"/>
  <c r="G39" i="53" s="1"/>
  <c r="F39" i="53"/>
  <c r="P35" i="44"/>
  <c r="P35" i="53" s="1"/>
  <c r="O35" i="44"/>
  <c r="O35" i="53" s="1"/>
  <c r="N35" i="44"/>
  <c r="N35" i="53" s="1"/>
  <c r="M35" i="44"/>
  <c r="M35" i="53" s="1"/>
  <c r="L35" i="44"/>
  <c r="L35" i="53" s="1"/>
  <c r="K35" i="44"/>
  <c r="K35" i="53" s="1"/>
  <c r="J35" i="44"/>
  <c r="J35" i="53" s="1"/>
  <c r="I35" i="44"/>
  <c r="I35" i="53" s="1"/>
  <c r="H35" i="44"/>
  <c r="H35" i="53" s="1"/>
  <c r="G35" i="44"/>
  <c r="G35" i="53" s="1"/>
  <c r="F35" i="53"/>
  <c r="E35" i="44"/>
  <c r="E35" i="53" s="1"/>
  <c r="P34" i="44"/>
  <c r="P34" i="53" s="1"/>
  <c r="O34" i="44"/>
  <c r="O34" i="53" s="1"/>
  <c r="N34" i="44"/>
  <c r="N34" i="53" s="1"/>
  <c r="M34" i="44"/>
  <c r="M34" i="53" s="1"/>
  <c r="L34" i="44"/>
  <c r="L34" i="53" s="1"/>
  <c r="K34" i="44"/>
  <c r="K34" i="53" s="1"/>
  <c r="J34" i="44"/>
  <c r="J34" i="53" s="1"/>
  <c r="I34" i="44"/>
  <c r="I34" i="53" s="1"/>
  <c r="H34" i="44"/>
  <c r="H34" i="53" s="1"/>
  <c r="G34" i="44"/>
  <c r="G34" i="53" s="1"/>
  <c r="F34" i="53"/>
  <c r="E34" i="53"/>
  <c r="P33" i="44"/>
  <c r="P33" i="53" s="1"/>
  <c r="O33" i="44"/>
  <c r="O33" i="53" s="1"/>
  <c r="N33" i="44"/>
  <c r="N33" i="53" s="1"/>
  <c r="M33" i="44"/>
  <c r="M33" i="53" s="1"/>
  <c r="L33" i="44"/>
  <c r="L33" i="53" s="1"/>
  <c r="K33" i="44"/>
  <c r="K33" i="53" s="1"/>
  <c r="J33" i="53"/>
  <c r="I33" i="44"/>
  <c r="I33" i="53" s="1"/>
  <c r="H33" i="44"/>
  <c r="H33" i="53" s="1"/>
  <c r="G33" i="44"/>
  <c r="G33" i="53" s="1"/>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53"/>
  <c r="E29" i="44"/>
  <c r="E29" i="53" s="1"/>
  <c r="P28" i="44"/>
  <c r="P28" i="53" s="1"/>
  <c r="O28" i="44"/>
  <c r="O28" i="53" s="1"/>
  <c r="N28" i="44"/>
  <c r="N28" i="53" s="1"/>
  <c r="M28" i="44"/>
  <c r="M28" i="53" s="1"/>
  <c r="L28" i="44"/>
  <c r="L28" i="53" s="1"/>
  <c r="K28" i="44"/>
  <c r="K28" i="53" s="1"/>
  <c r="J28" i="44"/>
  <c r="J28" i="53" s="1"/>
  <c r="I28" i="44"/>
  <c r="I28" i="53" s="1"/>
  <c r="H28" i="44"/>
  <c r="H28" i="53" s="1"/>
  <c r="G28" i="44"/>
  <c r="G28" i="53" s="1"/>
  <c r="F28" i="53"/>
  <c r="E28" i="53"/>
  <c r="P27" i="44"/>
  <c r="P27" i="53" s="1"/>
  <c r="O27" i="44"/>
  <c r="O27" i="53" s="1"/>
  <c r="N27" i="44"/>
  <c r="N27" i="53" s="1"/>
  <c r="M27" i="44"/>
  <c r="M27" i="53" s="1"/>
  <c r="L27" i="44"/>
  <c r="L27" i="53" s="1"/>
  <c r="K27" i="44"/>
  <c r="K27" i="53" s="1"/>
  <c r="J27" i="44"/>
  <c r="J27" i="53" s="1"/>
  <c r="I27" i="44"/>
  <c r="I27" i="53" s="1"/>
  <c r="H27" i="44"/>
  <c r="H27" i="53" s="1"/>
  <c r="G27" i="44"/>
  <c r="G27" i="53" s="1"/>
  <c r="F27" i="53"/>
  <c r="E27" i="53"/>
  <c r="P26" i="44"/>
  <c r="P26" i="53" s="1"/>
  <c r="O26" i="44"/>
  <c r="O26" i="53" s="1"/>
  <c r="N26" i="44"/>
  <c r="N26" i="53" s="1"/>
  <c r="M26" i="44"/>
  <c r="M26" i="53" s="1"/>
  <c r="L26" i="44"/>
  <c r="L26" i="53" s="1"/>
  <c r="K26" i="44"/>
  <c r="K26" i="53" s="1"/>
  <c r="J26" i="44"/>
  <c r="J26" i="53" s="1"/>
  <c r="I26" i="44"/>
  <c r="I26" i="53" s="1"/>
  <c r="H26" i="44"/>
  <c r="H26" i="53" s="1"/>
  <c r="G26" i="44"/>
  <c r="G26" i="53" s="1"/>
  <c r="F26" i="53"/>
  <c r="E26" i="53"/>
  <c r="P22" i="44"/>
  <c r="P22" i="53" s="1"/>
  <c r="O22" i="44"/>
  <c r="O22" i="53" s="1"/>
  <c r="N22" i="44"/>
  <c r="N22" i="53" s="1"/>
  <c r="M22" i="44"/>
  <c r="M22" i="53" s="1"/>
  <c r="L22" i="44"/>
  <c r="L22" i="53" s="1"/>
  <c r="K22" i="44"/>
  <c r="K22" i="53" s="1"/>
  <c r="J22" i="44"/>
  <c r="J22" i="53" s="1"/>
  <c r="I22" i="44"/>
  <c r="I22" i="53" s="1"/>
  <c r="H22" i="44"/>
  <c r="H22" i="53" s="1"/>
  <c r="G22" i="44"/>
  <c r="G22" i="53" s="1"/>
  <c r="F22" i="53"/>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53"/>
  <c r="E21" i="44"/>
  <c r="E21" i="53" s="1"/>
  <c r="P20" i="44"/>
  <c r="P20" i="53" s="1"/>
  <c r="O20" i="44"/>
  <c r="O20" i="53" s="1"/>
  <c r="N20" i="44"/>
  <c r="N20" i="53" s="1"/>
  <c r="M20" i="44"/>
  <c r="M20" i="53" s="1"/>
  <c r="L20" i="44"/>
  <c r="L20" i="53" s="1"/>
  <c r="K20" i="44"/>
  <c r="K20" i="53" s="1"/>
  <c r="J20" i="44"/>
  <c r="J20" i="53" s="1"/>
  <c r="I20" i="44"/>
  <c r="I20" i="53" s="1"/>
  <c r="H20" i="44"/>
  <c r="H20" i="53" s="1"/>
  <c r="G20" i="44"/>
  <c r="G20" i="53" s="1"/>
  <c r="F20" i="53"/>
  <c r="E20" i="53"/>
  <c r="P19" i="44"/>
  <c r="P19" i="53" s="1"/>
  <c r="O19" i="44"/>
  <c r="O19" i="53" s="1"/>
  <c r="N19" i="44"/>
  <c r="N19" i="53" s="1"/>
  <c r="M19" i="44"/>
  <c r="M19" i="53" s="1"/>
  <c r="L19" i="44"/>
  <c r="L19" i="53" s="1"/>
  <c r="K19" i="44"/>
  <c r="K19" i="53" s="1"/>
  <c r="J19" i="44"/>
  <c r="J19" i="53" s="1"/>
  <c r="I19" i="44"/>
  <c r="I19" i="53" s="1"/>
  <c r="H19" i="44"/>
  <c r="H19" i="53" s="1"/>
  <c r="G19" i="44"/>
  <c r="G19" i="53" s="1"/>
  <c r="F19" i="53"/>
  <c r="E19" i="53"/>
  <c r="P18" i="44"/>
  <c r="P18" i="53" s="1"/>
  <c r="O18" i="44"/>
  <c r="O18" i="53" s="1"/>
  <c r="N18" i="44"/>
  <c r="N18" i="53" s="1"/>
  <c r="M18" i="44"/>
  <c r="M18" i="53" s="1"/>
  <c r="L18" i="44"/>
  <c r="L18" i="53" s="1"/>
  <c r="K18" i="44"/>
  <c r="K18" i="53" s="1"/>
  <c r="J18" i="44"/>
  <c r="J18" i="53" s="1"/>
  <c r="I18" i="44"/>
  <c r="I18" i="53" s="1"/>
  <c r="H18" i="44"/>
  <c r="H18" i="53" s="1"/>
  <c r="G18" i="44"/>
  <c r="G18" i="53" s="1"/>
  <c r="F18" i="53"/>
  <c r="E18" i="53"/>
  <c r="P14" i="44"/>
  <c r="P14" i="53" s="1"/>
  <c r="O14" i="44"/>
  <c r="O14" i="53" s="1"/>
  <c r="N14" i="44"/>
  <c r="N14" i="53" s="1"/>
  <c r="M14" i="44"/>
  <c r="M14" i="53" s="1"/>
  <c r="L14" i="44"/>
  <c r="L14" i="53" s="1"/>
  <c r="K14" i="44"/>
  <c r="K14" i="53" s="1"/>
  <c r="J14" i="44"/>
  <c r="J14" i="53" s="1"/>
  <c r="I14" i="44"/>
  <c r="I14" i="53" s="1"/>
  <c r="H14" i="44"/>
  <c r="H14" i="53" s="1"/>
  <c r="G14" i="44"/>
  <c r="G14" i="53" s="1"/>
  <c r="F14" i="53"/>
  <c r="E14" i="44"/>
  <c r="E14" i="53" s="1"/>
  <c r="P13" i="44"/>
  <c r="P13" i="53" s="1"/>
  <c r="O13" i="44"/>
  <c r="O13" i="53" s="1"/>
  <c r="N13" i="44"/>
  <c r="N13" i="53" s="1"/>
  <c r="M13" i="44"/>
  <c r="M13" i="53" s="1"/>
  <c r="L13" i="44"/>
  <c r="L13" i="53" s="1"/>
  <c r="K13" i="44"/>
  <c r="K13" i="53" s="1"/>
  <c r="J13" i="44"/>
  <c r="J13" i="53" s="1"/>
  <c r="I13" i="44"/>
  <c r="I13" i="53" s="1"/>
  <c r="H13" i="44"/>
  <c r="H13" i="53" s="1"/>
  <c r="G13" i="44"/>
  <c r="G13" i="53" s="1"/>
  <c r="F13" i="53"/>
  <c r="E13" i="53"/>
  <c r="P12" i="44"/>
  <c r="P12" i="53" s="1"/>
  <c r="O12" i="44"/>
  <c r="O12" i="53" s="1"/>
  <c r="N12" i="44"/>
  <c r="N12" i="53" s="1"/>
  <c r="M12" i="44"/>
  <c r="M12" i="53" s="1"/>
  <c r="L12" i="44"/>
  <c r="L12" i="53" s="1"/>
  <c r="K12" i="44"/>
  <c r="K12" i="53" s="1"/>
  <c r="J12" i="44"/>
  <c r="J12" i="53" s="1"/>
  <c r="I12" i="44"/>
  <c r="I12" i="53" s="1"/>
  <c r="H12" i="44"/>
  <c r="H12" i="53" s="1"/>
  <c r="G12" i="44"/>
  <c r="G12" i="53" s="1"/>
  <c r="F12" i="53"/>
  <c r="E12" i="53"/>
  <c r="P11" i="44"/>
  <c r="P11" i="53" s="1"/>
  <c r="O11" i="44"/>
  <c r="O11" i="53" s="1"/>
  <c r="N11" i="44"/>
  <c r="N11" i="53" s="1"/>
  <c r="M11" i="44"/>
  <c r="M11" i="53" s="1"/>
  <c r="L11" i="44"/>
  <c r="L11" i="53" s="1"/>
  <c r="K11" i="44"/>
  <c r="K11" i="53" s="1"/>
  <c r="J11" i="44"/>
  <c r="J11" i="53" s="1"/>
  <c r="I11" i="44"/>
  <c r="I11" i="53" s="1"/>
  <c r="H11" i="44"/>
  <c r="H11" i="53" s="1"/>
  <c r="G11" i="44"/>
  <c r="G11" i="53" s="1"/>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I45" i="49"/>
  <c r="H45" i="49"/>
  <c r="G45" i="49"/>
  <c r="E45" i="49"/>
  <c r="L44" i="49"/>
  <c r="K44" i="49"/>
  <c r="J44" i="49"/>
  <c r="I44" i="49"/>
  <c r="H44" i="49"/>
  <c r="G44" i="49"/>
  <c r="L43" i="49"/>
  <c r="K43" i="49"/>
  <c r="J43" i="49"/>
  <c r="I43" i="49"/>
  <c r="H43" i="49"/>
  <c r="G43" i="49"/>
  <c r="L42" i="49"/>
  <c r="K42" i="49"/>
  <c r="J42" i="49"/>
  <c r="I42" i="49"/>
  <c r="H42" i="49"/>
  <c r="G42" i="49"/>
  <c r="L41" i="49"/>
  <c r="K41" i="49"/>
  <c r="J41" i="49"/>
  <c r="I41" i="49"/>
  <c r="H41" i="49"/>
  <c r="G41" i="49"/>
  <c r="L40" i="49"/>
  <c r="K40" i="49"/>
  <c r="J40" i="49"/>
  <c r="I40" i="49"/>
  <c r="H40" i="49"/>
  <c r="G40" i="49"/>
  <c r="L39" i="49"/>
  <c r="K39" i="49"/>
  <c r="J39" i="49"/>
  <c r="I39" i="49"/>
  <c r="H39" i="49"/>
  <c r="G39" i="49"/>
  <c r="L38" i="49"/>
  <c r="K38" i="49"/>
  <c r="J38" i="49"/>
  <c r="I38" i="49"/>
  <c r="H38" i="49"/>
  <c r="G38" i="49"/>
  <c r="L37" i="49"/>
  <c r="K37" i="49"/>
  <c r="J37" i="49"/>
  <c r="I37" i="49"/>
  <c r="H37" i="49"/>
  <c r="G37" i="49"/>
  <c r="L36" i="49"/>
  <c r="K36" i="49"/>
  <c r="J36" i="49"/>
  <c r="I36" i="49"/>
  <c r="H36" i="49"/>
  <c r="G36" i="49"/>
  <c r="L31"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G31" i="49"/>
  <c r="G30" i="49"/>
  <c r="G29" i="49"/>
  <c r="G28" i="49"/>
  <c r="G27" i="49"/>
  <c r="G26" i="49"/>
  <c r="G25" i="49"/>
  <c r="G24" i="49"/>
  <c r="G23" i="49"/>
  <c r="I73" i="51"/>
  <c r="I71" i="51"/>
  <c r="I70" i="51"/>
  <c r="I68" i="51"/>
  <c r="I67" i="51"/>
  <c r="I65" i="51"/>
  <c r="I64" i="51"/>
  <c r="I62" i="51"/>
  <c r="I61" i="51"/>
  <c r="I59" i="51"/>
  <c r="I58" i="51"/>
  <c r="I56" i="51"/>
  <c r="I55" i="51"/>
  <c r="I53" i="51"/>
  <c r="I52" i="51"/>
  <c r="I50" i="51"/>
  <c r="I49" i="51"/>
  <c r="I47" i="51"/>
  <c r="I46" i="51"/>
  <c r="H74" i="51"/>
  <c r="H73" i="51"/>
  <c r="H71" i="51"/>
  <c r="H70" i="51"/>
  <c r="H68" i="51"/>
  <c r="H67" i="51"/>
  <c r="H65" i="51"/>
  <c r="H64" i="51"/>
  <c r="H62" i="51"/>
  <c r="H61" i="51"/>
  <c r="H59" i="51"/>
  <c r="H58" i="51"/>
  <c r="H56" i="51"/>
  <c r="H55" i="51"/>
  <c r="H53" i="51"/>
  <c r="H52" i="51"/>
  <c r="H50" i="51"/>
  <c r="H49" i="51"/>
  <c r="H47" i="51"/>
  <c r="H46" i="51"/>
  <c r="I39" i="51"/>
  <c r="I36" i="51"/>
  <c r="I33" i="51"/>
  <c r="I30" i="51"/>
  <c r="I27" i="51"/>
  <c r="I24" i="51"/>
  <c r="I21" i="51"/>
  <c r="I18" i="51"/>
  <c r="I15" i="51"/>
  <c r="I12" i="51"/>
  <c r="H39" i="51"/>
  <c r="H36" i="51"/>
  <c r="H33" i="51"/>
  <c r="H30" i="51"/>
  <c r="H27" i="51"/>
  <c r="H24" i="51"/>
  <c r="H21" i="51"/>
  <c r="H18" i="51"/>
  <c r="H15" i="51"/>
  <c r="H12" i="51"/>
  <c r="J31"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<sst xmlns="http://schemas.openxmlformats.org/spreadsheetml/2006/main" count="5121" uniqueCount="1913">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</sst>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0"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0" borderId="200" xfId="55" applyFont="1" applyFill="1" applyBorder="1" applyAlignment="1">
      <alignment horizontal="left"/>
    </xf>
    <xf numFmtId="0" fontId="60" fillId="35"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2" borderId="202" xfId="55" applyFont="1" applyFill="1" applyBorder="1"/>
    <xf numFmtId="0" fontId="59" fillId="12" borderId="198" xfId="55" applyFont="1" applyFill="1" applyBorder="1"/>
    <xf numFmtId="0" fontId="59" fillId="12"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xf numFmtId="0" fontId="2" fillId="26" borderId="168" xfId="55" applyFill="1" applyBorder="1" applyAlignment="1">
      <alignment horizontal="center"/>
    </xf>
    <xf numFmtId="0" fontId="2" fillId="26" borderId="169" xfId="55"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6" t="s">
        <v>406</v>
      </c>
      <c r="B1" s="476"/>
      <c r="C1" s="476"/>
      <c r="D1" s="476"/>
      <c r="E1" s="476"/>
    </row>
    <row r="2" spans="1:18" ht="24" customHeight="1" x14ac:dyDescent="0.2">
      <c r="A2" s="476" t="str">
        <f>"County Fiscal Year "&amp;ReportInfo!N2&amp;"-"&amp;(ReportInfo!N2+1)</f>
        <v>County Fiscal Year 2024-2025</v>
      </c>
      <c r="B2" s="476"/>
      <c r="C2" s="476"/>
    </row>
    <row r="3" spans="1:18" ht="24" customHeight="1" x14ac:dyDescent="0.2">
      <c r="N3"/>
      <c r="O3"/>
    </row>
    <row r="4" spans="1:18" ht="24" customHeight="1" x14ac:dyDescent="0.2">
      <c r="A4" s="6"/>
      <c r="C4" s="21" t="s">
        <v>2</v>
      </c>
      <c r="D4" s="478" t="s">
        <v>10</v>
      </c>
      <c r="E4" s="478"/>
      <c r="F4" s="6"/>
      <c r="G4" s="21" t="s">
        <v>226</v>
      </c>
      <c r="H4" s="477" t="s">
        <v>77</v>
      </c>
      <c r="I4" s="477"/>
      <c r="K4" s="21" t="s">
        <v>3</v>
      </c>
      <c r="L4" s="164">
        <v>1</v>
      </c>
      <c r="N4"/>
      <c r="O4"/>
      <c r="Q4" s="484" t="s">
        <v>1909</v>
      </c>
      <c r="R4" s="484"/>
    </row>
    <row r="5" spans="1:18" ht="24" customHeight="1" x14ac:dyDescent="0.3">
      <c r="A5" s="6"/>
      <c r="C5" s="21" t="s">
        <v>73</v>
      </c>
      <c r="D5" s="479" t="s">
        <v>1910</v>
      </c>
      <c r="E5" s="479"/>
      <c r="F5" s="6"/>
      <c r="N5" s="7"/>
      <c r="Q5" s="484"/>
      <c r="R5" s="484"/>
    </row>
    <row r="6" spans="1:18" ht="24" customHeight="1" x14ac:dyDescent="0.3">
      <c r="A6" s="6"/>
      <c r="C6" s="21" t="s">
        <v>84</v>
      </c>
      <c r="D6" s="478" t="s">
        <v>1911</v>
      </c>
      <c r="E6" s="478"/>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0" t="s">
        <v>376</v>
      </c>
      <c r="F9" s="481"/>
      <c r="G9" s="481"/>
      <c r="H9" s="481"/>
      <c r="I9" s="481"/>
      <c r="J9" s="481"/>
      <c r="K9" s="481"/>
      <c r="L9" s="481"/>
      <c r="M9" s="481"/>
      <c r="N9" s="481"/>
      <c r="O9" s="481"/>
      <c r="P9" s="482"/>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4" t="s">
        <v>401</v>
      </c>
      <c r="D11" s="475"/>
      <c r="E11" s="127">
        <v>500</v>
      </c>
      <c r="F11" s="128">
        <v>528</v>
      </c>
      <c r="G11" s="128">
        <f>IF('Subcases Monthly'!$D$4="","",VLOOKUP('Subcases Monthly'!$D$4,DataLookUp!$A$4:$AVY$70,4,FALSE))</f>
        <v>0</v>
      </c>
      <c r="H11" s="128">
        <f>IF('Subcases Monthly'!$D$4="","",VLOOKUP('Subcases Monthly'!$D$4,DataLookUp!$A$4:$AVY$70,5,FALSE))</f>
        <v>0</v>
      </c>
      <c r="I11" s="128">
        <f>IF('Subcases Monthly'!$D$4="","",VLOOKUP('Subcases Monthly'!$D$4,DataLookUp!$A$4:$AVY$70,6,FALSE))</f>
        <v>0</v>
      </c>
      <c r="J11" s="128">
        <f>IF('Subcases Monthly'!$D$4="","",VLOOKUP('Subcases Monthly'!$D$4,DataLookUp!$A$4:$AVY$70,7,FALSE))</f>
        <v>0</v>
      </c>
      <c r="K11" s="128">
        <f>IF('Subcases Monthly'!$D$4="","",VLOOKUP('Subcases Monthly'!$D$4,DataLookUp!$A$4:$AVY$70,8,FALSE))</f>
        <v>0</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1028</v>
      </c>
      <c r="R11" s="492">
        <f>IF('Subcases Monthly'!$D$4="","",VLOOKUP('Subcases Monthly'!$D$4,DataLookUp!$A$4:$AVY$70,1264,FALSE))</f>
        <v>0</v>
      </c>
    </row>
    <row r="12" spans="1:18" ht="20.100000000000001" customHeight="1" x14ac:dyDescent="0.2">
      <c r="B12" s="197">
        <v>2</v>
      </c>
      <c r="C12" s="461" t="s">
        <v>404</v>
      </c>
      <c r="D12" s="462"/>
      <c r="E12" s="130">
        <v>0</v>
      </c>
      <c r="F12" s="131">
        <v>0</v>
      </c>
      <c r="G12" s="131">
        <f>IF('Subcases Monthly'!$D$4="","",VLOOKUP('Subcases Monthly'!$D$4,DataLookUp!$A$4:$AVY$70,17,FALSE))</f>
        <v>0</v>
      </c>
      <c r="H12" s="131">
        <f>IF('Subcases Monthly'!$D$4="","",VLOOKUP('Subcases Monthly'!$D$4,DataLookUp!$A$4:$AVY$70,18,FALSE))</f>
        <v>0</v>
      </c>
      <c r="I12" s="131">
        <f>IF('Subcases Monthly'!$D$4="","",VLOOKUP('Subcases Monthly'!$D$4,DataLookUp!$A$4:$AVY$70,19,FALSE))</f>
        <v>0</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0</v>
      </c>
      <c r="R12" s="492"/>
    </row>
    <row r="13" spans="1:18" ht="20.100000000000001" customHeight="1" x14ac:dyDescent="0.2">
      <c r="B13" s="197">
        <v>2</v>
      </c>
      <c r="C13" s="461" t="s">
        <v>389</v>
      </c>
      <c r="D13" s="462"/>
      <c r="E13" s="127">
        <v>25</v>
      </c>
      <c r="F13" s="128">
        <v>21</v>
      </c>
      <c r="G13" s="128">
        <f>IF('Subcases Monthly'!$D$4="","",VLOOKUP('Subcases Monthly'!$D$4,DataLookUp!$A$4:$AVY$70,30,FALSE))</f>
        <v>0</v>
      </c>
      <c r="H13" s="128">
        <f>IF('Subcases Monthly'!$D$4="","",VLOOKUP('Subcases Monthly'!$D$4,DataLookUp!$A$4:$AVY$70,31,FALSE))</f>
        <v>0</v>
      </c>
      <c r="I13" s="128">
        <f>IF('Subcases Monthly'!$D$4="","",VLOOKUP('Subcases Monthly'!$D$4,DataLookUp!$A$4:$AVY$70,32,FALSE))</f>
        <v>0</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46</v>
      </c>
      <c r="R13" s="492"/>
    </row>
    <row r="14" spans="1:18" ht="20.100000000000001" customHeight="1" thickBot="1" x14ac:dyDescent="0.25">
      <c r="B14" s="197">
        <v>1</v>
      </c>
      <c r="C14" s="469" t="s">
        <v>157</v>
      </c>
      <c r="D14" s="470"/>
      <c r="E14" s="220">
        <f>IF('Subcases Monthly'!$D$4="","",VLOOKUP('Subcases Monthly'!$D$4,DataLookUp!$A$4:$AVY$70,41,FALSE))</f>
        <v>0</v>
      </c>
      <c r="F14" s="221">
        <v>0</v>
      </c>
      <c r="G14" s="221">
        <f>IF('Subcases Monthly'!$D$4="","",VLOOKUP('Subcases Monthly'!$D$4,DataLookUp!$A$4:$AVY$70,43,FALSE))</f>
        <v>0</v>
      </c>
      <c r="H14" s="221">
        <f>IF('Subcases Monthly'!$D$4="","",VLOOKUP('Subcases Monthly'!$D$4,DataLookUp!$A$4:$AVY$70,44,FALSE))</f>
        <v>0</v>
      </c>
      <c r="I14" s="221">
        <f>IF('Subcases Monthly'!$D$4="","",VLOOKUP('Subcases Monthly'!$D$4,DataLookUp!$A$4:$AVY$70,45,FALSE))</f>
        <v>0</v>
      </c>
      <c r="J14" s="221">
        <f>IF('Subcases Monthly'!$D$4="","",VLOOKUP('Subcases Monthly'!$D$4,DataLookUp!$A$4:$AVY$70,46,FALSE))</f>
        <v>0</v>
      </c>
      <c r="K14" s="221">
        <f>IF('Subcases Monthly'!$D$4="","",VLOOKUP('Subcases Monthly'!$D$4,DataLookUp!$A$4:$AVY$70,47,FALSE))</f>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93"/>
    </row>
    <row r="15" spans="1:18" s="13" customFormat="1" ht="20.100000000000001" customHeight="1" thickTop="1" thickBot="1" x14ac:dyDescent="0.25">
      <c r="B15" s="196"/>
      <c r="C15" s="471" t="s">
        <v>158</v>
      </c>
      <c r="D15" s="472"/>
      <c r="E15" s="211">
        <f t="shared" ref="E15:P15" si="2">SUM(E11:E14)</f>
        <v>525</v>
      </c>
      <c r="F15" s="212">
        <f t="shared" si="2"/>
        <v>549</v>
      </c>
      <c r="G15" s="212">
        <f t="shared" si="2"/>
        <v>0</v>
      </c>
      <c r="H15" s="212">
        <f t="shared" si="2"/>
        <v>0</v>
      </c>
      <c r="I15" s="212">
        <f t="shared" si="2"/>
        <v>0</v>
      </c>
      <c r="J15" s="212">
        <f t="shared" si="2"/>
        <v>0</v>
      </c>
      <c r="K15" s="212">
        <f t="shared" si="2"/>
        <v>0</v>
      </c>
      <c r="L15" s="212">
        <f t="shared" si="2"/>
        <v>0</v>
      </c>
      <c r="M15" s="212">
        <f t="shared" si="2"/>
        <v>0</v>
      </c>
      <c r="N15" s="212">
        <f t="shared" si="2"/>
        <v>0</v>
      </c>
      <c r="O15" s="212">
        <f t="shared" si="2"/>
        <v>0</v>
      </c>
      <c r="P15" s="213">
        <f t="shared" si="2"/>
        <v>0</v>
      </c>
      <c r="Q15" s="247">
        <f>SUM(E15:P15)</f>
        <v>1074</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4" t="s">
        <v>159</v>
      </c>
      <c r="D18" s="475"/>
      <c r="E18" s="130">
        <v>369</v>
      </c>
      <c r="F18" s="131">
        <v>408</v>
      </c>
      <c r="G18" s="131">
        <f>IF('Subcases Monthly'!$D$4="","",VLOOKUP('Subcases Monthly'!$D$4,DataLookUp!$A$4:$AVY$70,69,FALSE))</f>
        <v>0</v>
      </c>
      <c r="H18" s="131">
        <f>IF('Subcases Monthly'!$D$4="","",VLOOKUP('Subcases Monthly'!$D$4,DataLookUp!$A$4:$AVY$70,70,FALSE))</f>
        <v>0</v>
      </c>
      <c r="I18" s="131">
        <f>IF('Subcases Monthly'!$D$4="","",VLOOKUP('Subcases Monthly'!$D$4,DataLookUp!$A$4:$AVY$70,71,FALSE))</f>
        <v>0</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777</v>
      </c>
      <c r="R18" s="491">
        <f>IF('Subcases Monthly'!$D$4="","",VLOOKUP('Subcases Monthly'!$D$4,DataLookUp!$A$4:$AVY$70,1265,FALSE))</f>
        <v>0</v>
      </c>
    </row>
    <row r="19" spans="1:18" ht="20.100000000000001" customHeight="1" x14ac:dyDescent="0.2">
      <c r="B19" s="190"/>
      <c r="C19" s="461" t="s">
        <v>160</v>
      </c>
      <c r="D19" s="462"/>
      <c r="E19" s="127">
        <v>4</v>
      </c>
      <c r="F19" s="128">
        <v>5</v>
      </c>
      <c r="G19" s="128">
        <f>IF('Subcases Monthly'!$D$4="","",VLOOKUP('Subcases Monthly'!$D$4,DataLookUp!$A$4:$AVY$70,82,FALSE))</f>
        <v>0</v>
      </c>
      <c r="H19" s="128">
        <f>IF('Subcases Monthly'!$D$4="","",VLOOKUP('Subcases Monthly'!$D$4,DataLookUp!$A$4:$AVY$70,83,FALSE))</f>
        <v>0</v>
      </c>
      <c r="I19" s="128">
        <f>IF('Subcases Monthly'!$D$4="","",VLOOKUP('Subcases Monthly'!$D$4,DataLookUp!$A$4:$AVY$70,84,FALSE))</f>
        <v>0</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9</v>
      </c>
      <c r="R19" s="492"/>
    </row>
    <row r="20" spans="1:18" ht="20.100000000000001" customHeight="1" x14ac:dyDescent="0.2">
      <c r="B20" s="190"/>
      <c r="C20" s="461" t="s">
        <v>161</v>
      </c>
      <c r="D20" s="462"/>
      <c r="E20" s="130">
        <v>112</v>
      </c>
      <c r="F20" s="131">
        <v>152</v>
      </c>
      <c r="G20" s="131">
        <f>IF('Subcases Monthly'!$D$4="","",VLOOKUP('Subcases Monthly'!$D$4,DataLookUp!$A$4:$AVY$70,95,FALSE))</f>
        <v>0</v>
      </c>
      <c r="H20" s="131">
        <f>IF('Subcases Monthly'!$D$4="","",VLOOKUP('Subcases Monthly'!$D$4,DataLookUp!$A$4:$AVY$70,96,FALSE))</f>
        <v>0</v>
      </c>
      <c r="I20" s="131">
        <f>IF('Subcases Monthly'!$D$4="","",VLOOKUP('Subcases Monthly'!$D$4,DataLookUp!$A$4:$AVY$70,97,FALSE))</f>
        <v>0</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264</v>
      </c>
      <c r="R20" s="492"/>
    </row>
    <row r="21" spans="1:18" ht="20.100000000000001" customHeight="1" x14ac:dyDescent="0.2">
      <c r="B21" s="197">
        <v>2</v>
      </c>
      <c r="C21" s="461" t="s">
        <v>389</v>
      </c>
      <c r="D21" s="462"/>
      <c r="E21" s="127">
        <f>IF('Subcases Monthly'!$D$4="","",VLOOKUP('Subcases Monthly'!$D$4,DataLookUp!$A$4:$AVY$70,106,FALSE))</f>
        <v>0</v>
      </c>
      <c r="F21" s="128">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92"/>
    </row>
    <row r="22" spans="1:18" ht="20.100000000000001" customHeight="1" thickBot="1" x14ac:dyDescent="0.25">
      <c r="B22" s="197">
        <v>1</v>
      </c>
      <c r="C22" s="469" t="s">
        <v>157</v>
      </c>
      <c r="D22" s="470"/>
      <c r="E22" s="220">
        <f>IF('Subcases Monthly'!$D$4="","",VLOOKUP('Subcases Monthly'!$D$4,DataLookUp!$A$4:$AVY$70,119,FALSE))</f>
        <v>0</v>
      </c>
      <c r="F22" s="221">
        <v>1</v>
      </c>
      <c r="G22" s="221">
        <f>IF('Subcases Monthly'!$D$4="","",VLOOKUP('Subcases Monthly'!$D$4,DataLookUp!$A$4:$AVY$70,121,FALSE))</f>
        <v>0</v>
      </c>
      <c r="H22" s="221">
        <f>IF('Subcases Monthly'!$D$4="","",VLOOKUP('Subcases Monthly'!$D$4,DataLookUp!$A$4:$AVY$70,122,FALSE))</f>
        <v>0</v>
      </c>
      <c r="I22" s="221">
        <f>IF('Subcases Monthly'!$D$4="","",VLOOKUP('Subcases Monthly'!$D$4,DataLookUp!$A$4:$AVY$70,123,FALSE))</f>
        <v>0</v>
      </c>
      <c r="J22" s="221">
        <f>IF('Subcases Monthly'!$D$4="","",VLOOKUP('Subcases Monthly'!$D$4,DataLookUp!$A$4:$AVY$70,124,FALSE))</f>
        <v>0</v>
      </c>
      <c r="K22" s="221">
        <f>IF('Subcases Monthly'!$D$4="","",VLOOKUP('Subcases Monthly'!$D$4,DataLookUp!$A$4:$AVY$70,125,FALSE))</f>
        <v>0</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1</v>
      </c>
      <c r="R22" s="493"/>
    </row>
    <row r="23" spans="1:18" s="13" customFormat="1" ht="20.100000000000001" customHeight="1" thickTop="1" thickBot="1" x14ac:dyDescent="0.25">
      <c r="B23" s="192"/>
      <c r="C23" s="471" t="s">
        <v>162</v>
      </c>
      <c r="D23" s="472"/>
      <c r="E23" s="211">
        <f t="shared" ref="E23:P23" si="5">SUM(E18:E22)</f>
        <v>485</v>
      </c>
      <c r="F23" s="212">
        <f t="shared" si="5"/>
        <v>566</v>
      </c>
      <c r="G23" s="212">
        <f t="shared" si="5"/>
        <v>0</v>
      </c>
      <c r="H23" s="212">
        <f t="shared" si="5"/>
        <v>0</v>
      </c>
      <c r="I23" s="212">
        <f t="shared" si="5"/>
        <v>0</v>
      </c>
      <c r="J23" s="212">
        <f t="shared" si="5"/>
        <v>0</v>
      </c>
      <c r="K23" s="212">
        <f t="shared" si="5"/>
        <v>0</v>
      </c>
      <c r="L23" s="212">
        <f t="shared" si="5"/>
        <v>0</v>
      </c>
      <c r="M23" s="212">
        <f t="shared" si="5"/>
        <v>0</v>
      </c>
      <c r="N23" s="212">
        <f t="shared" si="5"/>
        <v>0</v>
      </c>
      <c r="O23" s="212">
        <f t="shared" si="5"/>
        <v>0</v>
      </c>
      <c r="P23" s="213">
        <f t="shared" si="5"/>
        <v>0</v>
      </c>
      <c r="Q23" s="247">
        <f t="shared" si="4"/>
        <v>1051</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4" t="s">
        <v>163</v>
      </c>
      <c r="D26" s="475"/>
      <c r="E26" s="130">
        <v>96</v>
      </c>
      <c r="F26" s="131">
        <v>95</v>
      </c>
      <c r="G26" s="131">
        <f>IF('Subcases Monthly'!$D$4="","",VLOOKUP('Subcases Monthly'!$D$4,DataLookUp!$A$4:$AVY$70,147,FALSE))</f>
        <v>0</v>
      </c>
      <c r="H26" s="131">
        <f>IF('Subcases Monthly'!$D$4="","",VLOOKUP('Subcases Monthly'!$D$4,DataLookUp!$A$4:$AVY$70,148,FALSE))</f>
        <v>0</v>
      </c>
      <c r="I26" s="131">
        <f>IF('Subcases Monthly'!$D$4="","",VLOOKUP('Subcases Monthly'!$D$4,DataLookUp!$A$4:$AVY$70,149,FALSE))</f>
        <v>0</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191</v>
      </c>
      <c r="R26" s="485">
        <f>IF('Subcases Monthly'!$D$4="","",VLOOKUP('Subcases Monthly'!$D$4,DataLookUp!$A$4:$AVY$70,1266,FALSE))</f>
        <v>0</v>
      </c>
    </row>
    <row r="27" spans="1:18" ht="20.100000000000001" customHeight="1" x14ac:dyDescent="0.2">
      <c r="B27" s="197">
        <v>2</v>
      </c>
      <c r="C27" s="461" t="s">
        <v>390</v>
      </c>
      <c r="D27" s="462"/>
      <c r="E27" s="127">
        <v>0</v>
      </c>
      <c r="F27" s="128">
        <v>0</v>
      </c>
      <c r="G27" s="128">
        <f>IF('Subcases Monthly'!$D$4="","",VLOOKUP('Subcases Monthly'!$D$4,DataLookUp!$A$4:$AVY$70,160,FALSE))</f>
        <v>0</v>
      </c>
      <c r="H27" s="128">
        <f>IF('Subcases Monthly'!$D$4="","",VLOOKUP('Subcases Monthly'!$D$4,DataLookUp!$A$4:$AVY$70,161,FALSE))</f>
        <v>0</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0</v>
      </c>
      <c r="R27" s="486"/>
    </row>
    <row r="28" spans="1:18" ht="20.100000000000001" customHeight="1" x14ac:dyDescent="0.2">
      <c r="B28" s="190"/>
      <c r="C28" s="461" t="s">
        <v>164</v>
      </c>
      <c r="D28" s="462"/>
      <c r="E28" s="130">
        <v>1</v>
      </c>
      <c r="F28" s="131">
        <v>0</v>
      </c>
      <c r="G28" s="131">
        <f>IF('Subcases Monthly'!$D$4="","",VLOOKUP('Subcases Monthly'!$D$4,DataLookUp!$A$4:$AVY$70,173,FALSE))</f>
        <v>0</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1</v>
      </c>
      <c r="R28" s="486"/>
    </row>
    <row r="29" spans="1:18" ht="20.100000000000001" customHeight="1" thickBot="1" x14ac:dyDescent="0.25">
      <c r="B29" s="197">
        <v>1</v>
      </c>
      <c r="C29" s="469" t="s">
        <v>157</v>
      </c>
      <c r="D29" s="470"/>
      <c r="E29" s="215">
        <f>IF('Subcases Monthly'!$D$4="","",VLOOKUP('Subcases Monthly'!$D$4,DataLookUp!$A$4:$AVY$70,184,FALSE))</f>
        <v>0</v>
      </c>
      <c r="F29" s="216">
        <v>0</v>
      </c>
      <c r="G29" s="216">
        <f>IF('Subcases Monthly'!$D$4="","",VLOOKUP('Subcases Monthly'!$D$4,DataLookUp!$A$4:$AVY$70,186,FALSE))</f>
        <v>0</v>
      </c>
      <c r="H29" s="216">
        <f>IF('Subcases Monthly'!$D$4="","",VLOOKUP('Subcases Monthly'!$D$4,DataLookUp!$A$4:$AVY$70,187,FALSE))</f>
        <v>0</v>
      </c>
      <c r="I29" s="216">
        <f>IF('Subcases Monthly'!$D$4="","",VLOOKUP('Subcases Monthly'!$D$4,DataLookUp!$A$4:$AVY$70,187,FALSE))</f>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87"/>
    </row>
    <row r="30" spans="1:18" s="13" customFormat="1" ht="20.100000000000001" customHeight="1" thickTop="1" thickBot="1" x14ac:dyDescent="0.25">
      <c r="B30" s="192"/>
      <c r="C30" s="471" t="s">
        <v>165</v>
      </c>
      <c r="D30" s="472"/>
      <c r="E30" s="211">
        <f>SUM(E26:E29)</f>
        <v>97</v>
      </c>
      <c r="F30" s="212">
        <f t="shared" ref="F30:P30" si="17">SUM(F26:F29)</f>
        <v>95</v>
      </c>
      <c r="G30" s="212">
        <f t="shared" si="17"/>
        <v>0</v>
      </c>
      <c r="H30" s="212">
        <f t="shared" si="17"/>
        <v>0</v>
      </c>
      <c r="I30" s="212">
        <f t="shared" si="17"/>
        <v>0</v>
      </c>
      <c r="J30" s="212">
        <f t="shared" si="17"/>
        <v>0</v>
      </c>
      <c r="K30" s="212">
        <f t="shared" si="17"/>
        <v>0</v>
      </c>
      <c r="L30" s="212">
        <f t="shared" si="17"/>
        <v>0</v>
      </c>
      <c r="M30" s="212">
        <f t="shared" si="17"/>
        <v>0</v>
      </c>
      <c r="N30" s="212">
        <f t="shared" si="17"/>
        <v>0</v>
      </c>
      <c r="O30" s="212">
        <f t="shared" si="17"/>
        <v>0</v>
      </c>
      <c r="P30" s="213">
        <f t="shared" si="17"/>
        <v>0</v>
      </c>
      <c r="Q30" s="247">
        <f t="shared" si="16"/>
        <v>192</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4" t="s">
        <v>167</v>
      </c>
      <c r="D33" s="475"/>
      <c r="E33" s="130">
        <v>150</v>
      </c>
      <c r="F33" s="131">
        <v>160</v>
      </c>
      <c r="G33" s="131">
        <f>IF('Subcases Monthly'!$D$4="","",VLOOKUP('Subcases Monthly'!$D$4,DataLookUp!$A$4:$AVY$70,212,FALSE))</f>
        <v>0</v>
      </c>
      <c r="H33" s="131">
        <f>IF('Subcases Monthly'!$D$4="","",VLOOKUP('Subcases Monthly'!$D$4,DataLookUp!$A$4:$AVY$70,213,FALSE))</f>
        <v>0</v>
      </c>
      <c r="I33" s="131">
        <f>IF('Subcases Monthly'!$D$4="","",VLOOKUP('Subcases Monthly'!$D$4,DataLookUp!$A$4:$AVY$70,214,FALSE))</f>
        <v>0</v>
      </c>
      <c r="J33" s="131">
        <f>IF('Subcases Monthly'!$D$4="","",VLOOKUP('Subcases Monthly'!$D$4,DataLookUp!$A$4:$AVY$70,215,FALSE))</f>
        <v>0</v>
      </c>
      <c r="K33" s="131">
        <f>IF('Subcases Monthly'!$D$4="","",VLOOKUP('Subcases Monthly'!$D$4,DataLookUp!$A$4:$AVY$70,216,FALSE))</f>
        <v>0</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310</v>
      </c>
      <c r="R33" s="488">
        <f>IF('Subcases Monthly'!$D$4="","",VLOOKUP('Subcases Monthly'!$D$4,DataLookUp!$A$4:$AVY$70,1267,FALSE))</f>
        <v>0</v>
      </c>
    </row>
    <row r="34" spans="1:18" ht="20.100000000000001" customHeight="1" x14ac:dyDescent="0.2">
      <c r="B34" s="190"/>
      <c r="C34" s="461" t="s">
        <v>168</v>
      </c>
      <c r="D34" s="462"/>
      <c r="E34" s="127">
        <v>561</v>
      </c>
      <c r="F34" s="128">
        <v>549</v>
      </c>
      <c r="G34" s="128">
        <f>IF('Subcases Monthly'!$D$4="","",VLOOKUP('Subcases Monthly'!$D$4,DataLookUp!$A$4:$AVY$70,225,FALSE))</f>
        <v>0</v>
      </c>
      <c r="H34" s="128">
        <f>IF('Subcases Monthly'!$D$4="","",VLOOKUP('Subcases Monthly'!$D$4,DataLookUp!$A$4:$AVY$70,226,FALSE))</f>
        <v>0</v>
      </c>
      <c r="I34" s="128">
        <f>IF('Subcases Monthly'!$D$4="","",VLOOKUP('Subcases Monthly'!$D$4,DataLookUp!$A$4:$AVY$70,227,FALSE))</f>
        <v>0</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1110</v>
      </c>
      <c r="R34" s="489"/>
    </row>
    <row r="35" spans="1:18" ht="20.100000000000001" customHeight="1" thickBot="1" x14ac:dyDescent="0.25">
      <c r="B35" s="197">
        <v>1</v>
      </c>
      <c r="C35" s="469" t="s">
        <v>157</v>
      </c>
      <c r="D35" s="470"/>
      <c r="E35" s="221">
        <f>IF('Subcases Monthly'!$D$4="","",VLOOKUP('Subcases Monthly'!$D$4,DataLookUp!$A$4:$AVY$70,236,FALSE))</f>
        <v>0</v>
      </c>
      <c r="F35" s="221">
        <v>0</v>
      </c>
      <c r="G35" s="221">
        <f>IF('Subcases Monthly'!$D$4="","",VLOOKUP('Subcases Monthly'!$D$4,DataLookUp!$A$4:$AVY$70,238,FALSE))</f>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90"/>
    </row>
    <row r="36" spans="1:18" s="13" customFormat="1" ht="20.100000000000001" customHeight="1" thickTop="1" thickBot="1" x14ac:dyDescent="0.25">
      <c r="B36" s="192"/>
      <c r="C36" s="471" t="s">
        <v>169</v>
      </c>
      <c r="D36" s="472"/>
      <c r="E36" s="211">
        <f>SUM(E33:E35)</f>
        <v>711</v>
      </c>
      <c r="F36" s="212">
        <f t="shared" ref="F36:P36" si="20">SUM(F33:F35)</f>
        <v>709</v>
      </c>
      <c r="G36" s="212">
        <f t="shared" si="20"/>
        <v>0</v>
      </c>
      <c r="H36" s="212">
        <f t="shared" si="20"/>
        <v>0</v>
      </c>
      <c r="I36" s="212">
        <f t="shared" si="20"/>
        <v>0</v>
      </c>
      <c r="J36" s="212">
        <f t="shared" si="20"/>
        <v>0</v>
      </c>
      <c r="K36" s="212">
        <f t="shared" si="20"/>
        <v>0</v>
      </c>
      <c r="L36" s="212">
        <f t="shared" si="20"/>
        <v>0</v>
      </c>
      <c r="M36" s="212">
        <f t="shared" si="20"/>
        <v>0</v>
      </c>
      <c r="N36" s="212">
        <f t="shared" si="20"/>
        <v>0</v>
      </c>
      <c r="O36" s="212">
        <f t="shared" si="20"/>
        <v>0</v>
      </c>
      <c r="P36" s="261">
        <f t="shared" si="20"/>
        <v>0</v>
      </c>
      <c r="Q36" s="136">
        <f t="shared" si="19"/>
        <v>1420</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4" t="s">
        <v>170</v>
      </c>
      <c r="D39" s="475"/>
      <c r="E39" s="131">
        <v>2</v>
      </c>
      <c r="F39" s="131">
        <v>1</v>
      </c>
      <c r="G39" s="131">
        <f>IF('Subcases Monthly'!$D$4="","",VLOOKUP('Subcases Monthly'!$D$4,DataLookUp!$A$4:$AVY$70,264,FALSE))</f>
        <v>0</v>
      </c>
      <c r="H39" s="131">
        <f>IF('Subcases Monthly'!$D$4="","",VLOOKUP('Subcases Monthly'!$D$4,DataLookUp!$A$4:$AVY$70,265,FALSE))</f>
        <v>0</v>
      </c>
      <c r="I39" s="131">
        <f>IF('Subcases Monthly'!$D$4="","",VLOOKUP('Subcases Monthly'!$D$4,DataLookUp!$A$4:$AVY$70,266,FALSE))</f>
        <v>0</v>
      </c>
      <c r="J39" s="131">
        <f>IF('Subcases Monthly'!$D$4="","",VLOOKUP('Subcases Monthly'!$D$4,DataLookUp!$A$4:$AVY$70,267,FALSE))</f>
        <v>0</v>
      </c>
      <c r="K39" s="131">
        <f>IF('Subcases Monthly'!$D$4="","",VLOOKUP('Subcases Monthly'!$D$4,DataLookUp!$A$4:$AVY$70,268,FALSE))</f>
        <v>0</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3</v>
      </c>
      <c r="R39" s="488">
        <f>IF('Subcases Monthly'!$D$4="","",VLOOKUP('Subcases Monthly'!$D$4,DataLookUp!$A$4:$AVY$70,1268,FALSE))</f>
        <v>0</v>
      </c>
    </row>
    <row r="40" spans="1:18" ht="20.100000000000001" customHeight="1" x14ac:dyDescent="0.2">
      <c r="B40" s="190"/>
      <c r="C40" s="461" t="s">
        <v>171</v>
      </c>
      <c r="D40" s="462"/>
      <c r="E40" s="128">
        <v>0</v>
      </c>
      <c r="F40" s="128">
        <v>0</v>
      </c>
      <c r="G40" s="128">
        <f>IF('Subcases Monthly'!$D$4="","",VLOOKUP('Subcases Monthly'!$D$4,DataLookUp!$A$4:$AVY$70,277,FALSE))</f>
        <v>0</v>
      </c>
      <c r="H40" s="128">
        <f>IF('Subcases Monthly'!$D$4="","",VLOOKUP('Subcases Monthly'!$D$4,DataLookUp!$A$4:$AVY$70,278,FALSE))</f>
        <v>0</v>
      </c>
      <c r="I40" s="128">
        <f>IF('Subcases Monthly'!$D$4="","",VLOOKUP('Subcases Monthly'!$D$4,DataLookUp!$A$4:$AVY$70,279,FALSE))</f>
        <v>0</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0</v>
      </c>
      <c r="R40" s="489"/>
    </row>
    <row r="41" spans="1:18" ht="20.100000000000001" customHeight="1" x14ac:dyDescent="0.2">
      <c r="B41" s="190"/>
      <c r="C41" s="461" t="s">
        <v>172</v>
      </c>
      <c r="D41" s="462"/>
      <c r="E41" s="131">
        <v>78</v>
      </c>
      <c r="F41" s="131">
        <v>62</v>
      </c>
      <c r="G41" s="131">
        <f>IF('Subcases Monthly'!$D$4="","",VLOOKUP('Subcases Monthly'!$D$4,DataLookUp!$A$4:$AVY$70,290,FALSE))</f>
        <v>0</v>
      </c>
      <c r="H41" s="131">
        <f>IF('Subcases Monthly'!$D$4="","",VLOOKUP('Subcases Monthly'!$D$4,DataLookUp!$A$4:$AVY$70,291,FALSE))</f>
        <v>0</v>
      </c>
      <c r="I41" s="131">
        <f>IF('Subcases Monthly'!$D$4="","",VLOOKUP('Subcases Monthly'!$D$4,DataLookUp!$A$4:$AVY$70,292,FALSE))</f>
        <v>0</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140</v>
      </c>
      <c r="R41" s="489"/>
    </row>
    <row r="42" spans="1:18" ht="20.100000000000001" customHeight="1" x14ac:dyDescent="0.2">
      <c r="B42" s="190"/>
      <c r="C42" s="461" t="s">
        <v>173</v>
      </c>
      <c r="D42" s="462"/>
      <c r="E42" s="128">
        <v>1</v>
      </c>
      <c r="F42" s="128">
        <v>1</v>
      </c>
      <c r="G42" s="128">
        <f>IF('Subcases Monthly'!$D$4="","",VLOOKUP('Subcases Monthly'!$D$4,DataLookUp!$A$4:$AVY$70,303,FALSE))</f>
        <v>0</v>
      </c>
      <c r="H42" s="128">
        <f>IF('Subcases Monthly'!$D$4="","",VLOOKUP('Subcases Monthly'!$D$4,DataLookUp!$A$4:$AVY$70,304,FALSE))</f>
        <v>0</v>
      </c>
      <c r="I42" s="128">
        <f>IF('Subcases Monthly'!$D$4="","",VLOOKUP('Subcases Monthly'!$D$4,DataLookUp!$A$4:$AVY$70,305,FALSE))</f>
        <v>0</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2</v>
      </c>
      <c r="R42" s="489"/>
    </row>
    <row r="43" spans="1:18" ht="20.100000000000001" customHeight="1" x14ac:dyDescent="0.2">
      <c r="B43" s="190"/>
      <c r="C43" s="461" t="s">
        <v>174</v>
      </c>
      <c r="D43" s="462"/>
      <c r="E43" s="131">
        <v>64</v>
      </c>
      <c r="F43" s="131">
        <v>43</v>
      </c>
      <c r="G43" s="131">
        <f>IF('Subcases Monthly'!$D$4="","",VLOOKUP('Subcases Monthly'!$D$4,DataLookUp!$A$4:$AVY$70,316,FALSE))</f>
        <v>0</v>
      </c>
      <c r="H43" s="131">
        <f>IF('Subcases Monthly'!$D$4="","",VLOOKUP('Subcases Monthly'!$D$4,DataLookUp!$A$4:$AVY$70,317,FALSE))</f>
        <v>0</v>
      </c>
      <c r="I43" s="131">
        <f>IF('Subcases Monthly'!$D$4="","",VLOOKUP('Subcases Monthly'!$D$4,DataLookUp!$A$4:$AVY$70,318,FALSE))</f>
        <v>0</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107</v>
      </c>
      <c r="R43" s="489"/>
    </row>
    <row r="44" spans="1:18" ht="20.100000000000001" customHeight="1" x14ac:dyDescent="0.2">
      <c r="B44" s="190"/>
      <c r="C44" s="461" t="s">
        <v>175</v>
      </c>
      <c r="D44" s="462"/>
      <c r="E44" s="128">
        <v>0</v>
      </c>
      <c r="F44" s="128">
        <v>0</v>
      </c>
      <c r="G44" s="128">
        <f>IF('Subcases Monthly'!$D$4="","",VLOOKUP('Subcases Monthly'!$D$4,DataLookUp!$A$4:$AVY$70,329,FALSE))</f>
        <v>0</v>
      </c>
      <c r="H44" s="128">
        <f>IF('Subcases Monthly'!$D$4="","",VLOOKUP('Subcases Monthly'!$D$4,DataLookUp!$A$4:$AVY$70,330,FALSE))</f>
        <v>0</v>
      </c>
      <c r="I44" s="128">
        <f>IF('Subcases Monthly'!$D$4="","",VLOOKUP('Subcases Monthly'!$D$4,DataLookUp!$A$4:$AVY$70,331,FALSE))</f>
        <v>0</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0</v>
      </c>
      <c r="R44" s="489"/>
    </row>
    <row r="45" spans="1:18" ht="20.100000000000001" customHeight="1" x14ac:dyDescent="0.2">
      <c r="B45" s="190"/>
      <c r="C45" s="461" t="s">
        <v>176</v>
      </c>
      <c r="D45" s="462"/>
      <c r="E45" s="131">
        <v>31</v>
      </c>
      <c r="F45" s="131">
        <v>28</v>
      </c>
      <c r="G45" s="131">
        <f>IF('Subcases Monthly'!$D$4="","",VLOOKUP('Subcases Monthly'!$D$4,DataLookUp!$A$4:$AVY$70,342,FALSE))</f>
        <v>0</v>
      </c>
      <c r="H45" s="131">
        <f>IF('Subcases Monthly'!$D$4="","",VLOOKUP('Subcases Monthly'!$D$4,DataLookUp!$A$4:$AVY$70,343,FALSE))</f>
        <v>0</v>
      </c>
      <c r="I45" s="131">
        <f>IF('Subcases Monthly'!$D$4="","",VLOOKUP('Subcases Monthly'!$D$4,DataLookUp!$A$4:$AVY$70,344,FALSE))</f>
        <v>0</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59</v>
      </c>
      <c r="R45" s="489"/>
    </row>
    <row r="46" spans="1:18" ht="20.100000000000001" customHeight="1" x14ac:dyDescent="0.2">
      <c r="B46" s="190"/>
      <c r="C46" s="461" t="s">
        <v>177</v>
      </c>
      <c r="D46" s="462"/>
      <c r="E46" s="128">
        <v>3</v>
      </c>
      <c r="F46" s="128">
        <v>0</v>
      </c>
      <c r="G46" s="128">
        <f>IF('Subcases Monthly'!$D$4="","",VLOOKUP('Subcases Monthly'!$D$4,DataLookUp!$A$4:$AVY$70,355,FALSE))</f>
        <v>0</v>
      </c>
      <c r="H46" s="128">
        <f>IF('Subcases Monthly'!$D$4="","",VLOOKUP('Subcases Monthly'!$D$4,DataLookUp!$A$4:$AVY$70,356,FALSE))</f>
        <v>0</v>
      </c>
      <c r="I46" s="128">
        <f>IF('Subcases Monthly'!$D$4="","",VLOOKUP('Subcases Monthly'!$D$4,DataLookUp!$A$4:$AVY$70,357,FALSE))</f>
        <v>0</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3</v>
      </c>
      <c r="R46" s="489"/>
    </row>
    <row r="47" spans="1:18" ht="20.100000000000001" customHeight="1" x14ac:dyDescent="0.2">
      <c r="B47" s="190"/>
      <c r="C47" s="461" t="s">
        <v>178</v>
      </c>
      <c r="D47" s="462"/>
      <c r="E47" s="131">
        <v>25</v>
      </c>
      <c r="F47" s="131">
        <v>20</v>
      </c>
      <c r="G47" s="131">
        <f>IF('Subcases Monthly'!$D$4="","",VLOOKUP('Subcases Monthly'!$D$4,DataLookUp!$A$4:$AVY$70,368,FALSE))</f>
        <v>0</v>
      </c>
      <c r="H47" s="131">
        <f>IF('Subcases Monthly'!$D$4="","",VLOOKUP('Subcases Monthly'!$D$4,DataLookUp!$A$4:$AVY$70,369,FALSE))</f>
        <v>0</v>
      </c>
      <c r="I47" s="131">
        <f>IF('Subcases Monthly'!$D$4="","",VLOOKUP('Subcases Monthly'!$D$4,DataLookUp!$A$4:$AVY$70,370,FALSE))</f>
        <v>0</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45</v>
      </c>
      <c r="R47" s="489"/>
    </row>
    <row r="48" spans="1:18" ht="20.100000000000001" customHeight="1" x14ac:dyDescent="0.2">
      <c r="B48" s="190"/>
      <c r="C48" s="461" t="s">
        <v>179</v>
      </c>
      <c r="D48" s="462"/>
      <c r="E48" s="128">
        <v>23</v>
      </c>
      <c r="F48" s="128">
        <v>11</v>
      </c>
      <c r="G48" s="128">
        <f>IF('Subcases Monthly'!$D$4="","",VLOOKUP('Subcases Monthly'!$D$4,DataLookUp!$A$4:$AVY$70,381,FALSE))</f>
        <v>0</v>
      </c>
      <c r="H48" s="128">
        <f>IF('Subcases Monthly'!$D$4="","",VLOOKUP('Subcases Monthly'!$D$4,DataLookUp!$A$4:$AVY$70,382,FALSE))</f>
        <v>0</v>
      </c>
      <c r="I48" s="128">
        <f>IF('Subcases Monthly'!$D$4="","",VLOOKUP('Subcases Monthly'!$D$4,DataLookUp!$A$4:$AVY$70,383,FALSE))</f>
        <v>0</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34</v>
      </c>
      <c r="R48" s="489"/>
    </row>
    <row r="49" spans="1:18" ht="20.100000000000001" customHeight="1" x14ac:dyDescent="0.2">
      <c r="B49" s="190"/>
      <c r="C49" s="461" t="s">
        <v>180</v>
      </c>
      <c r="D49" s="462"/>
      <c r="E49" s="131">
        <v>25</v>
      </c>
      <c r="F49" s="131">
        <v>24</v>
      </c>
      <c r="G49" s="131">
        <f>IF('Subcases Monthly'!$D$4="","",VLOOKUP('Subcases Monthly'!$D$4,DataLookUp!$A$4:$AVY$70,394,FALSE))</f>
        <v>0</v>
      </c>
      <c r="H49" s="131">
        <f>IF('Subcases Monthly'!$D$4="","",VLOOKUP('Subcases Monthly'!$D$4,DataLookUp!$A$4:$AVY$70,395,FALSE))</f>
        <v>0</v>
      </c>
      <c r="I49" s="131">
        <f>IF('Subcases Monthly'!$D$4="","",VLOOKUP('Subcases Monthly'!$D$4,DataLookUp!$A$4:$AVY$70,396,FALSE))</f>
        <v>0</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49</v>
      </c>
      <c r="R49" s="489"/>
    </row>
    <row r="50" spans="1:18" ht="20.100000000000001" customHeight="1" x14ac:dyDescent="0.2">
      <c r="B50" s="190"/>
      <c r="C50" s="461" t="s">
        <v>181</v>
      </c>
      <c r="D50" s="462"/>
      <c r="E50" s="128">
        <v>47</v>
      </c>
      <c r="F50" s="128">
        <v>38</v>
      </c>
      <c r="G50" s="128">
        <f>IF('Subcases Monthly'!$D$4="","",VLOOKUP('Subcases Monthly'!$D$4,DataLookUp!$A$4:$AVY$70,407,FALSE))</f>
        <v>0</v>
      </c>
      <c r="H50" s="128">
        <f>IF('Subcases Monthly'!$D$4="","",VLOOKUP('Subcases Monthly'!$D$4,DataLookUp!$A$4:$AVY$70,408,FALSE))</f>
        <v>0</v>
      </c>
      <c r="I50" s="128">
        <f>IF('Subcases Monthly'!$D$4="","",VLOOKUP('Subcases Monthly'!$D$4,DataLookUp!$A$4:$AVY$70,409,FALSE))</f>
        <v>0</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85</v>
      </c>
      <c r="R50" s="489"/>
    </row>
    <row r="51" spans="1:18" ht="20.100000000000001" customHeight="1" x14ac:dyDescent="0.2">
      <c r="B51" s="197">
        <v>2</v>
      </c>
      <c r="C51" s="461" t="s">
        <v>391</v>
      </c>
      <c r="D51" s="462"/>
      <c r="E51" s="131">
        <v>0</v>
      </c>
      <c r="F51" s="131">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89"/>
    </row>
    <row r="52" spans="1:18" ht="20.100000000000001" customHeight="1" x14ac:dyDescent="0.2">
      <c r="B52" s="197">
        <v>2</v>
      </c>
      <c r="C52" s="461" t="s">
        <v>404</v>
      </c>
      <c r="D52" s="462"/>
      <c r="E52" s="128">
        <v>0</v>
      </c>
      <c r="F52" s="128">
        <v>2</v>
      </c>
      <c r="G52" s="128">
        <f>IF('Subcases Monthly'!$D$4="","",VLOOKUP('Subcases Monthly'!$D$4,DataLookUp!$A$4:$AVY$70,433,FALSE))</f>
        <v>0</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89"/>
    </row>
    <row r="53" spans="1:18" ht="20.100000000000001" customHeight="1" x14ac:dyDescent="0.2">
      <c r="B53" s="190"/>
      <c r="C53" s="461" t="s">
        <v>182</v>
      </c>
      <c r="D53" s="462"/>
      <c r="E53" s="131">
        <v>0</v>
      </c>
      <c r="F53" s="131">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89"/>
    </row>
    <row r="54" spans="1:18" ht="20.100000000000001" customHeight="1" x14ac:dyDescent="0.2">
      <c r="B54" s="190"/>
      <c r="C54" s="461" t="s">
        <v>183</v>
      </c>
      <c r="D54" s="462"/>
      <c r="E54" s="128">
        <v>3</v>
      </c>
      <c r="F54" s="128">
        <v>9</v>
      </c>
      <c r="G54" s="128">
        <f>IF('Subcases Monthly'!$D$4="","",VLOOKUP('Subcases Monthly'!$D$4,DataLookUp!$A$4:$AVY$70,459,FALSE))</f>
        <v>0</v>
      </c>
      <c r="H54" s="128">
        <f>IF('Subcases Monthly'!$D$4="","",VLOOKUP('Subcases Monthly'!$D$4,DataLookUp!$A$4:$AVY$70,460,FALSE))</f>
        <v>0</v>
      </c>
      <c r="I54" s="128">
        <f>IF('Subcases Monthly'!$D$4="","",VLOOKUP('Subcases Monthly'!$D$4,DataLookUp!$A$4:$AVY$70,461,FALSE))</f>
        <v>0</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12</v>
      </c>
      <c r="R54" s="489"/>
    </row>
    <row r="55" spans="1:18" ht="20.100000000000001" customHeight="1" x14ac:dyDescent="0.2">
      <c r="B55" s="190"/>
      <c r="C55" s="461" t="s">
        <v>184</v>
      </c>
      <c r="D55" s="462"/>
      <c r="E55" s="131">
        <v>2</v>
      </c>
      <c r="F55" s="131">
        <v>0</v>
      </c>
      <c r="G55" s="131">
        <f>IF('Subcases Monthly'!$D$4="","",VLOOKUP('Subcases Monthly'!$D$4,DataLookUp!$A$4:$AVY$70,472,FALSE))</f>
        <v>0</v>
      </c>
      <c r="H55" s="131">
        <f>IF('Subcases Monthly'!$D$4="","",VLOOKUP('Subcases Monthly'!$D$4,DataLookUp!$A$4:$AVY$70,473,FALSE))</f>
        <v>0</v>
      </c>
      <c r="I55" s="131">
        <f>IF('Subcases Monthly'!$D$4="","",VLOOKUP('Subcases Monthly'!$D$4,DataLookUp!$A$4:$AVY$70,474,FALSE))</f>
        <v>0</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2</v>
      </c>
      <c r="R55" s="489"/>
    </row>
    <row r="56" spans="1:18" ht="20.100000000000001" customHeight="1" x14ac:dyDescent="0.2">
      <c r="B56" s="190"/>
      <c r="C56" s="461" t="s">
        <v>185</v>
      </c>
      <c r="D56" s="462"/>
      <c r="E56" s="128">
        <v>0</v>
      </c>
      <c r="F56" s="128">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89"/>
    </row>
    <row r="57" spans="1:18" ht="20.100000000000001" customHeight="1" x14ac:dyDescent="0.2">
      <c r="B57" s="190"/>
      <c r="C57" s="461" t="s">
        <v>186</v>
      </c>
      <c r="D57" s="462"/>
      <c r="E57" s="131">
        <v>0</v>
      </c>
      <c r="F57" s="131">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89"/>
    </row>
    <row r="58" spans="1:18" ht="20.100000000000001" customHeight="1" x14ac:dyDescent="0.2">
      <c r="B58" s="190"/>
      <c r="C58" s="461" t="s">
        <v>187</v>
      </c>
      <c r="D58" s="462"/>
      <c r="E58" s="128">
        <v>3</v>
      </c>
      <c r="F58" s="128">
        <v>3</v>
      </c>
      <c r="G58" s="128">
        <f>IF('Subcases Monthly'!$D$4="","",VLOOKUP('Subcases Monthly'!$D$4,DataLookUp!$A$4:$AVY$70,511,FALSE))</f>
        <v>0</v>
      </c>
      <c r="H58" s="128">
        <f>IF('Subcases Monthly'!$D$4="","",VLOOKUP('Subcases Monthly'!$D$4,DataLookUp!$A$4:$AVY$70,512,FALSE))</f>
        <v>0</v>
      </c>
      <c r="I58" s="128">
        <f>IF('Subcases Monthly'!$D$4="","",VLOOKUP('Subcases Monthly'!$D$4,DataLookUp!$A$4:$AVY$70,513,FALSE))</f>
        <v>0</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6</v>
      </c>
      <c r="R58" s="489"/>
    </row>
    <row r="59" spans="1:18" ht="20.100000000000001" customHeight="1" thickBot="1" x14ac:dyDescent="0.25">
      <c r="B59" s="199">
        <v>1</v>
      </c>
      <c r="C59" s="469" t="s">
        <v>157</v>
      </c>
      <c r="D59" s="470"/>
      <c r="E59" s="221">
        <f>IF('Subcases Monthly'!$D$4="","",VLOOKUP('Subcases Monthly'!$D$4,DataLookUp!$A$4:$AVY$70,522,FALSE))</f>
        <v>0</v>
      </c>
      <c r="F59" s="221">
        <v>0</v>
      </c>
      <c r="G59" s="221">
        <f>IF('Subcases Monthly'!$D$4="","",VLOOKUP('Subcases Monthly'!$D$4,DataLookUp!$A$4:$AVY$70,524,FALSE))</f>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90"/>
    </row>
    <row r="60" spans="1:18" s="13" customFormat="1" ht="20.100000000000001" customHeight="1" thickTop="1" thickBot="1" x14ac:dyDescent="0.25">
      <c r="B60" s="192"/>
      <c r="C60" s="471" t="s">
        <v>392</v>
      </c>
      <c r="D60" s="472"/>
      <c r="E60" s="211">
        <f t="shared" ref="E60:P60" si="23">SUM(E39:E59)</f>
        <v>307</v>
      </c>
      <c r="F60" s="212">
        <f t="shared" si="23"/>
        <v>242</v>
      </c>
      <c r="G60" s="212">
        <f t="shared" si="23"/>
        <v>0</v>
      </c>
      <c r="H60" s="212">
        <f t="shared" si="23"/>
        <v>0</v>
      </c>
      <c r="I60" s="212">
        <f t="shared" si="23"/>
        <v>0</v>
      </c>
      <c r="J60" s="212">
        <f t="shared" si="23"/>
        <v>0</v>
      </c>
      <c r="K60" s="212">
        <f t="shared" si="23"/>
        <v>0</v>
      </c>
      <c r="L60" s="212">
        <f t="shared" si="23"/>
        <v>0</v>
      </c>
      <c r="M60" s="212">
        <f t="shared" si="23"/>
        <v>0</v>
      </c>
      <c r="N60" s="212">
        <f t="shared" si="23"/>
        <v>0</v>
      </c>
      <c r="O60" s="212">
        <f t="shared" si="23"/>
        <v>0</v>
      </c>
      <c r="P60" s="261">
        <f t="shared" si="23"/>
        <v>0</v>
      </c>
      <c r="Q60" s="136">
        <f t="shared" si="22"/>
        <v>549</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4" t="s">
        <v>188</v>
      </c>
      <c r="D63" s="475"/>
      <c r="E63" s="143">
        <v>498</v>
      </c>
      <c r="F63" s="143">
        <v>515</v>
      </c>
      <c r="G63" s="143">
        <f>IF('Subcases Monthly'!$D$4="","",VLOOKUP('Subcases Monthly'!$D$4,DataLookUp!$A$4:$AVY$70,550,FALSE))</f>
        <v>0</v>
      </c>
      <c r="H63" s="143">
        <f>IF('Subcases Monthly'!$D$4="","",VLOOKUP('Subcases Monthly'!$D$4,DataLookUp!$A$4:$AVY$70,551,FALSE))</f>
        <v>0</v>
      </c>
      <c r="I63" s="143">
        <f>IF('Subcases Monthly'!$D$4="","",VLOOKUP('Subcases Monthly'!$D$4,DataLookUp!$A$4:$AVY$70,552,FALSE))</f>
        <v>0</v>
      </c>
      <c r="J63" s="143">
        <f>IF('Subcases Monthly'!$D$4="","",VLOOKUP('Subcases Monthly'!$D$4,DataLookUp!$A$4:$AVY$70,553,FALSE))</f>
        <v>0</v>
      </c>
      <c r="K63" s="143">
        <f>IF('Subcases Monthly'!$D$4="","",VLOOKUP('Subcases Monthly'!$D$4,DataLookUp!$A$4:$AVY$70,554,FALSE))</f>
        <v>0</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1013</v>
      </c>
      <c r="R63" s="488">
        <f>IF('Subcases Monthly'!$D$4="","",VLOOKUP('Subcases Monthly'!$D$4,DataLookUp!$A$4:$AVY$70,1269,FALSE))</f>
        <v>0</v>
      </c>
    </row>
    <row r="64" spans="1:18" ht="20.100000000000001" customHeight="1" x14ac:dyDescent="0.2">
      <c r="B64" s="190"/>
      <c r="C64" s="461" t="s">
        <v>387</v>
      </c>
      <c r="D64" s="462"/>
      <c r="E64" s="142">
        <v>145</v>
      </c>
      <c r="F64" s="142">
        <v>160</v>
      </c>
      <c r="G64" s="142">
        <f>IF('Subcases Monthly'!$D$4="","",VLOOKUP('Subcases Monthly'!$D$4,DataLookUp!$A$4:$AVY$70,563,FALSE))</f>
        <v>0</v>
      </c>
      <c r="H64" s="142">
        <f>IF('Subcases Monthly'!$D$4="","",VLOOKUP('Subcases Monthly'!$D$4,DataLookUp!$A$4:$AVY$70,564,FALSE))</f>
        <v>0</v>
      </c>
      <c r="I64" s="142">
        <f>IF('Subcases Monthly'!$D$4="","",VLOOKUP('Subcases Monthly'!$D$4,DataLookUp!$A$4:$AVY$70,565,FALSE))</f>
        <v>0</v>
      </c>
      <c r="J64" s="142">
        <f>IF('Subcases Monthly'!$D$4="","",VLOOKUP('Subcases Monthly'!$D$4,DataLookUp!$A$4:$AVY$70,566,FALSE))</f>
        <v>0</v>
      </c>
      <c r="K64" s="142">
        <f>IF('Subcases Monthly'!$D$4="","",VLOOKUP('Subcases Monthly'!$D$4,DataLookUp!$A$4:$AVY$70,567,FALSE))</f>
        <v>0</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305</v>
      </c>
      <c r="R64" s="489"/>
    </row>
    <row r="65" spans="1:18" ht="20.100000000000001" customHeight="1" x14ac:dyDescent="0.2">
      <c r="B65" s="190"/>
      <c r="C65" s="461" t="s">
        <v>386</v>
      </c>
      <c r="D65" s="462"/>
      <c r="E65" s="143">
        <v>151</v>
      </c>
      <c r="F65" s="143">
        <v>142</v>
      </c>
      <c r="G65" s="143">
        <f>IF('Subcases Monthly'!$D$4="","",VLOOKUP('Subcases Monthly'!$D$4,DataLookUp!$A$4:$AVY$70,576,FALSE))</f>
        <v>0</v>
      </c>
      <c r="H65" s="143">
        <f>IF('Subcases Monthly'!$D$4="","",VLOOKUP('Subcases Monthly'!$D$4,DataLookUp!$A$4:$AVY$70,577,FALSE))</f>
        <v>0</v>
      </c>
      <c r="I65" s="143">
        <f>IF('Subcases Monthly'!$D$4="","",VLOOKUP('Subcases Monthly'!$D$4,DataLookUp!$A$4:$AVY$70,578,FALSE))</f>
        <v>0</v>
      </c>
      <c r="J65" s="143">
        <f>IF('Subcases Monthly'!$D$4="","",VLOOKUP('Subcases Monthly'!$D$4,DataLookUp!$A$4:$AVY$70,579,FALSE))</f>
        <v>0</v>
      </c>
      <c r="K65" s="143">
        <f>IF('Subcases Monthly'!$D$4="","",VLOOKUP('Subcases Monthly'!$D$4,DataLookUp!$A$4:$AVY$70,580,FALSE))</f>
        <v>0</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293</v>
      </c>
      <c r="R65" s="489"/>
    </row>
    <row r="66" spans="1:18" ht="20.100000000000001" customHeight="1" x14ac:dyDescent="0.2">
      <c r="B66" s="190"/>
      <c r="C66" s="461" t="s">
        <v>377</v>
      </c>
      <c r="D66" s="462"/>
      <c r="E66" s="142">
        <v>76</v>
      </c>
      <c r="F66" s="142">
        <v>51</v>
      </c>
      <c r="G66" s="142">
        <f>IF('Subcases Monthly'!$D$4="","",VLOOKUP('Subcases Monthly'!$D$4,DataLookUp!$A$4:$AVY$70,589,FALSE))</f>
        <v>0</v>
      </c>
      <c r="H66" s="142">
        <f>IF('Subcases Monthly'!$D$4="","",VLOOKUP('Subcases Monthly'!$D$4,DataLookUp!$A$4:$AVY$70,590,FALSE))</f>
        <v>0</v>
      </c>
      <c r="I66" s="142">
        <f>IF('Subcases Monthly'!$D$4="","",VLOOKUP('Subcases Monthly'!$D$4,DataLookUp!$A$4:$AVY$70,591,FALSE))</f>
        <v>0</v>
      </c>
      <c r="J66" s="142">
        <f>IF('Subcases Monthly'!$D$4="","",VLOOKUP('Subcases Monthly'!$D$4,DataLookUp!$A$4:$AVY$70,592,FALSE))</f>
        <v>0</v>
      </c>
      <c r="K66" s="142">
        <f>IF('Subcases Monthly'!$D$4="","",VLOOKUP('Subcases Monthly'!$D$4,DataLookUp!$A$4:$AVY$70,593,FALSE))</f>
        <v>0</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127</v>
      </c>
      <c r="R66" s="489"/>
    </row>
    <row r="67" spans="1:18" ht="20.100000000000001" customHeight="1" x14ac:dyDescent="0.2">
      <c r="B67" s="197">
        <v>4</v>
      </c>
      <c r="C67" s="461" t="s">
        <v>405</v>
      </c>
      <c r="D67" s="462"/>
      <c r="E67" s="143">
        <v>35</v>
      </c>
      <c r="F67" s="143">
        <v>35</v>
      </c>
      <c r="G67" s="143">
        <f>IF('Subcases Monthly'!$D$4="","",VLOOKUP('Subcases Monthly'!$D$4,DataLookUp!$A$4:$AVY$70,602,FALSE))</f>
        <v>0</v>
      </c>
      <c r="H67" s="143">
        <f>IF('Subcases Monthly'!$D$4="","",VLOOKUP('Subcases Monthly'!$D$4,DataLookUp!$A$4:$AVY$70,603,FALSE))</f>
        <v>0</v>
      </c>
      <c r="I67" s="143">
        <f>IF('Subcases Monthly'!$D$4="","",VLOOKUP('Subcases Monthly'!$D$4,DataLookUp!$A$4:$AVY$70,604,FALSE))</f>
        <v>0</v>
      </c>
      <c r="J67" s="143">
        <f>IF('Subcases Monthly'!$D$4="","",VLOOKUP('Subcases Monthly'!$D$4,DataLookUp!$A$4:$AVY$70,605,FALSE))</f>
        <v>0</v>
      </c>
      <c r="K67" s="143">
        <f>IF('Subcases Monthly'!$D$4="","",VLOOKUP('Subcases Monthly'!$D$4,DataLookUp!$A$4:$AVY$70,606,FALSE))</f>
        <v>0</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70</v>
      </c>
      <c r="R67" s="489"/>
    </row>
    <row r="68" spans="1:18" ht="20.100000000000001" customHeight="1" x14ac:dyDescent="0.2">
      <c r="B68" s="190"/>
      <c r="C68" s="461" t="s">
        <v>189</v>
      </c>
      <c r="D68" s="462"/>
      <c r="E68" s="142">
        <v>5</v>
      </c>
      <c r="F68" s="142">
        <v>3</v>
      </c>
      <c r="G68" s="142">
        <f>IF('Subcases Monthly'!$D$4="","",VLOOKUP('Subcases Monthly'!$D$4,DataLookUp!$A$4:$AVY$70,615,FALSE))</f>
        <v>0</v>
      </c>
      <c r="H68" s="142">
        <f>IF('Subcases Monthly'!$D$4="","",VLOOKUP('Subcases Monthly'!$D$4,DataLookUp!$A$4:$AVY$70,616,FALSE))</f>
        <v>0</v>
      </c>
      <c r="I68" s="142">
        <f>IF('Subcases Monthly'!$D$4="","",VLOOKUP('Subcases Monthly'!$D$4,DataLookUp!$A$4:$AVY$70,617,FALSE))</f>
        <v>0</v>
      </c>
      <c r="J68" s="142">
        <f>IF('Subcases Monthly'!$D$4="","",VLOOKUP('Subcases Monthly'!$D$4,DataLookUp!$A$4:$AVY$70,618,FALSE))</f>
        <v>0</v>
      </c>
      <c r="K68" s="142">
        <f>IF('Subcases Monthly'!$D$4="","",VLOOKUP('Subcases Monthly'!$D$4,DataLookUp!$A$4:$AVY$70,619,FALSE))</f>
        <v>0</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8</v>
      </c>
      <c r="R68" s="489"/>
    </row>
    <row r="69" spans="1:18" ht="20.100000000000001" customHeight="1" x14ac:dyDescent="0.2">
      <c r="B69" s="190"/>
      <c r="C69" s="461" t="s">
        <v>190</v>
      </c>
      <c r="D69" s="462"/>
      <c r="E69" s="143">
        <v>269</v>
      </c>
      <c r="F69" s="143">
        <v>277</v>
      </c>
      <c r="G69" s="143">
        <f>IF('Subcases Monthly'!$D$4="","",VLOOKUP('Subcases Monthly'!$D$4,DataLookUp!$A$4:$AVY$70,628,FALSE))</f>
        <v>0</v>
      </c>
      <c r="H69" s="143">
        <f>IF('Subcases Monthly'!$D$4="","",VLOOKUP('Subcases Monthly'!$D$4,DataLookUp!$A$4:$AVY$70,629,FALSE))</f>
        <v>0</v>
      </c>
      <c r="I69" s="143">
        <f>IF('Subcases Monthly'!$D$4="","",VLOOKUP('Subcases Monthly'!$D$4,DataLookUp!$A$4:$AVY$70,630,FALSE))</f>
        <v>0</v>
      </c>
      <c r="J69" s="143">
        <f>IF('Subcases Monthly'!$D$4="","",VLOOKUP('Subcases Monthly'!$D$4,DataLookUp!$A$4:$AVY$70,631,FALSE))</f>
        <v>0</v>
      </c>
      <c r="K69" s="143">
        <f>IF('Subcases Monthly'!$D$4="","",VLOOKUP('Subcases Monthly'!$D$4,DataLookUp!$A$4:$AVY$70,632,FALSE))</f>
        <v>0</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546</v>
      </c>
      <c r="R69" s="489"/>
    </row>
    <row r="70" spans="1:18" ht="20.100000000000001" customHeight="1" x14ac:dyDescent="0.2">
      <c r="B70" s="190"/>
      <c r="C70" s="461" t="s">
        <v>191</v>
      </c>
      <c r="D70" s="462"/>
      <c r="E70" s="142">
        <v>3</v>
      </c>
      <c r="F70" s="142">
        <v>5</v>
      </c>
      <c r="G70" s="142">
        <f>IF('Subcases Monthly'!$D$4="","",VLOOKUP('Subcases Monthly'!$D$4,DataLookUp!$A$4:$AVY$70,641,FALSE))</f>
        <v>0</v>
      </c>
      <c r="H70" s="142">
        <f>IF('Subcases Monthly'!$D$4="","",VLOOKUP('Subcases Monthly'!$D$4,DataLookUp!$A$4:$AVY$70,642,FALSE))</f>
        <v>0</v>
      </c>
      <c r="I70" s="142">
        <f>IF('Subcases Monthly'!$D$4="","",VLOOKUP('Subcases Monthly'!$D$4,DataLookUp!$A$4:$AVY$70,643,FALSE))</f>
        <v>0</v>
      </c>
      <c r="J70" s="142">
        <f>IF('Subcases Monthly'!$D$4="","",VLOOKUP('Subcases Monthly'!$D$4,DataLookUp!$A$4:$AVY$70,644,FALSE))</f>
        <v>0</v>
      </c>
      <c r="K70" s="142">
        <f>IF('Subcases Monthly'!$D$4="","",VLOOKUP('Subcases Monthly'!$D$4,DataLookUp!$A$4:$AVY$70,645,FALSE))</f>
        <v>0</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8</v>
      </c>
      <c r="R70" s="489"/>
    </row>
    <row r="71" spans="1:18" ht="20.100000000000001" customHeight="1" x14ac:dyDescent="0.2">
      <c r="B71" s="190"/>
      <c r="C71" s="461" t="s">
        <v>187</v>
      </c>
      <c r="D71" s="462"/>
      <c r="E71" s="143">
        <v>1</v>
      </c>
      <c r="F71" s="143">
        <v>0</v>
      </c>
      <c r="G71" s="143">
        <f>IF('Subcases Monthly'!$D$4="","",VLOOKUP('Subcases Monthly'!$D$4,DataLookUp!$A$4:$AVY$70,654,FALSE))</f>
        <v>0</v>
      </c>
      <c r="H71" s="143">
        <f>IF('Subcases Monthly'!$D$4="","",VLOOKUP('Subcases Monthly'!$D$4,DataLookUp!$A$4:$AVY$70,655,FALSE))</f>
        <v>0</v>
      </c>
      <c r="I71" s="143">
        <f>IF('Subcases Monthly'!$D$4="","",VLOOKUP('Subcases Monthly'!$D$4,DataLookUp!$A$4:$AVY$70,656,FALSE))</f>
        <v>0</v>
      </c>
      <c r="J71" s="143">
        <f>IF('Subcases Monthly'!$D$4="","",VLOOKUP('Subcases Monthly'!$D$4,DataLookUp!$A$4:$AVY$70,657,FALSE))</f>
        <v>0</v>
      </c>
      <c r="K71" s="143">
        <f>IF('Subcases Monthly'!$D$4="","",VLOOKUP('Subcases Monthly'!$D$4,DataLookUp!$A$4:$AVY$70,658,FALSE))</f>
        <v>0</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1</v>
      </c>
      <c r="R71" s="489"/>
    </row>
    <row r="72" spans="1:18" ht="20.100000000000001" customHeight="1" x14ac:dyDescent="0.2">
      <c r="B72" s="190"/>
      <c r="C72" s="461" t="s">
        <v>192</v>
      </c>
      <c r="D72" s="462"/>
      <c r="E72" s="142">
        <f>IF('Subcases Monthly'!$D$4="","",VLOOKUP('Subcases Monthly'!$D$4,DataLookUp!$A$4:$AVY$70,665,FALSE))</f>
        <v>0</v>
      </c>
      <c r="F72" s="142">
        <v>0</v>
      </c>
      <c r="G72" s="142">
        <f>IF('Subcases Monthly'!$D$4="","",VLOOKUP('Subcases Monthly'!$D$4,DataLookUp!$A$4:$AVY$70,667,FALSE))</f>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89"/>
    </row>
    <row r="73" spans="1:18" ht="20.100000000000001" customHeight="1" thickBot="1" x14ac:dyDescent="0.25">
      <c r="B73" s="199">
        <v>1</v>
      </c>
      <c r="C73" s="469" t="s">
        <v>157</v>
      </c>
      <c r="D73" s="470"/>
      <c r="E73" s="221">
        <f>IF('Subcases Monthly'!$D$4="","",VLOOKUP('Subcases Monthly'!$D$4,DataLookUp!$A$4:$AVY$70,678,FALSE))</f>
        <v>0</v>
      </c>
      <c r="F73" s="221">
        <v>0</v>
      </c>
      <c r="G73" s="221">
        <f>IF('Subcases Monthly'!$D$4="","",VLOOKUP('Subcases Monthly'!$D$4,DataLookUp!$A$4:$AVY$70,680,FALSE))</f>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90"/>
    </row>
    <row r="74" spans="1:18" s="13" customFormat="1" ht="20.100000000000001" customHeight="1" thickTop="1" thickBot="1" x14ac:dyDescent="0.25">
      <c r="B74" s="192"/>
      <c r="C74" s="471" t="s">
        <v>393</v>
      </c>
      <c r="D74" s="472"/>
      <c r="E74" s="211">
        <f t="shared" ref="E74:P74" si="26">SUM(E63:E73)</f>
        <v>1183</v>
      </c>
      <c r="F74" s="212">
        <f t="shared" si="26"/>
        <v>1188</v>
      </c>
      <c r="G74" s="212">
        <f t="shared" si="26"/>
        <v>0</v>
      </c>
      <c r="H74" s="212">
        <f t="shared" si="26"/>
        <v>0</v>
      </c>
      <c r="I74" s="212">
        <f t="shared" si="26"/>
        <v>0</v>
      </c>
      <c r="J74" s="212">
        <f t="shared" si="26"/>
        <v>0</v>
      </c>
      <c r="K74" s="212">
        <f t="shared" si="26"/>
        <v>0</v>
      </c>
      <c r="L74" s="212">
        <f t="shared" si="26"/>
        <v>0</v>
      </c>
      <c r="M74" s="212">
        <f t="shared" si="26"/>
        <v>0</v>
      </c>
      <c r="N74" s="212">
        <f t="shared" si="26"/>
        <v>0</v>
      </c>
      <c r="O74" s="212">
        <f t="shared" si="26"/>
        <v>0</v>
      </c>
      <c r="P74" s="261">
        <f t="shared" si="26"/>
        <v>0</v>
      </c>
      <c r="Q74" s="136">
        <f t="shared" ref="Q74" si="27">SUM(E74:P74)</f>
        <v>2371</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4" t="s">
        <v>193</v>
      </c>
      <c r="D77" s="475"/>
      <c r="E77" s="130">
        <v>181</v>
      </c>
      <c r="F77" s="131">
        <v>176</v>
      </c>
      <c r="G77" s="131">
        <f>IF('Subcases Monthly'!$D$4="","",VLOOKUP('Subcases Monthly'!$D$4,DataLookUp!$A$4:$AVY$70,706,FALSE))</f>
        <v>0</v>
      </c>
      <c r="H77" s="131">
        <f>IF('Subcases Monthly'!$D$4="","",VLOOKUP('Subcases Monthly'!$D$4,DataLookUp!$A$4:$AVY$70,707,FALSE))</f>
        <v>0</v>
      </c>
      <c r="I77" s="131">
        <f>IF('Subcases Monthly'!$D$4="","",VLOOKUP('Subcases Monthly'!$D$4,DataLookUp!$A$4:$AVY$70,708,FALSE))</f>
        <v>0</v>
      </c>
      <c r="J77" s="131">
        <f>IF('Subcases Monthly'!$D$4="","",VLOOKUP('Subcases Monthly'!$D$4,DataLookUp!$A$4:$AVY$70,709,FALSE))</f>
        <v>0</v>
      </c>
      <c r="K77" s="131">
        <f>IF('Subcases Monthly'!$D$4="","",VLOOKUP('Subcases Monthly'!$D$4,DataLookUp!$A$4:$AVY$70,710,FALSE))</f>
        <v>0</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357</v>
      </c>
      <c r="R77" s="485">
        <f>IF('Subcases Monthly'!$D$4="","",VLOOKUP('Subcases Monthly'!$D$4,DataLookUp!$A$4:$AVY$70,1270,FALSE))</f>
        <v>0</v>
      </c>
    </row>
    <row r="78" spans="1:18" ht="20.100000000000001" customHeight="1" x14ac:dyDescent="0.2">
      <c r="B78" s="190"/>
      <c r="C78" s="461" t="s">
        <v>194</v>
      </c>
      <c r="D78" s="462"/>
      <c r="E78" s="127">
        <v>42</v>
      </c>
      <c r="F78" s="128">
        <v>20</v>
      </c>
      <c r="G78" s="128">
        <f>IF('Subcases Monthly'!$D$4="","",VLOOKUP('Subcases Monthly'!$D$4,DataLookUp!$A$4:$AVY$70,719,FALSE))</f>
        <v>0</v>
      </c>
      <c r="H78" s="128">
        <f>IF('Subcases Monthly'!$D$4="","",VLOOKUP('Subcases Monthly'!$D$4,DataLookUp!$A$4:$AVY$70,720,FALSE))</f>
        <v>0</v>
      </c>
      <c r="I78" s="128">
        <f>IF('Subcases Monthly'!$D$4="","",VLOOKUP('Subcases Monthly'!$D$4,DataLookUp!$A$4:$AVY$70,721,FALSE))</f>
        <v>0</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62</v>
      </c>
      <c r="R78" s="486"/>
    </row>
    <row r="79" spans="1:18" ht="20.100000000000001" customHeight="1" x14ac:dyDescent="0.2">
      <c r="B79" s="190"/>
      <c r="C79" s="461" t="s">
        <v>195</v>
      </c>
      <c r="D79" s="462"/>
      <c r="E79" s="130">
        <v>1</v>
      </c>
      <c r="F79" s="131">
        <v>1</v>
      </c>
      <c r="G79" s="131">
        <f>IF('Subcases Monthly'!$D$4="","",VLOOKUP('Subcases Monthly'!$D$4,DataLookUp!$A$4:$AVY$70,732,FALSE))</f>
        <v>0</v>
      </c>
      <c r="H79" s="131">
        <f>IF('Subcases Monthly'!$D$4="","",VLOOKUP('Subcases Monthly'!$D$4,DataLookUp!$A$4:$AVY$70,733,FALSE))</f>
        <v>0</v>
      </c>
      <c r="I79" s="131">
        <f>IF('Subcases Monthly'!$D$4="","",VLOOKUP('Subcases Monthly'!$D$4,DataLookUp!$A$4:$AVY$70,734,FALSE))</f>
        <v>0</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2</v>
      </c>
      <c r="R79" s="486"/>
    </row>
    <row r="80" spans="1:18" ht="20.100000000000001" customHeight="1" x14ac:dyDescent="0.2">
      <c r="B80" s="190"/>
      <c r="C80" s="461" t="s">
        <v>196</v>
      </c>
      <c r="D80" s="462"/>
      <c r="E80" s="127">
        <v>42</v>
      </c>
      <c r="F80" s="128">
        <v>45</v>
      </c>
      <c r="G80" s="128">
        <f>IF('Subcases Monthly'!$D$4="","",VLOOKUP('Subcases Monthly'!$D$4,DataLookUp!$A$4:$AVY$70,745,FALSE))</f>
        <v>0</v>
      </c>
      <c r="H80" s="128">
        <f>IF('Subcases Monthly'!$D$4="","",VLOOKUP('Subcases Monthly'!$D$4,DataLookUp!$A$4:$AVY$70,746,FALSE))</f>
        <v>0</v>
      </c>
      <c r="I80" s="128">
        <f>IF('Subcases Monthly'!$D$4="","",VLOOKUP('Subcases Monthly'!$D$4,DataLookUp!$A$4:$AVY$70,747,FALSE))</f>
        <v>0</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87</v>
      </c>
      <c r="R80" s="486"/>
    </row>
    <row r="81" spans="1:18" ht="20.100000000000001" customHeight="1" x14ac:dyDescent="0.2">
      <c r="B81" s="190"/>
      <c r="C81" s="461" t="s">
        <v>197</v>
      </c>
      <c r="D81" s="462"/>
      <c r="E81" s="130">
        <v>16</v>
      </c>
      <c r="F81" s="131">
        <v>20</v>
      </c>
      <c r="G81" s="131">
        <f>IF('Subcases Monthly'!$D$4="","",VLOOKUP('Subcases Monthly'!$D$4,DataLookUp!$A$4:$AVY$70,758,FALSE))</f>
        <v>0</v>
      </c>
      <c r="H81" s="131">
        <f>IF('Subcases Monthly'!$D$4="","",VLOOKUP('Subcases Monthly'!$D$4,DataLookUp!$A$4:$AVY$70,759,FALSE))</f>
        <v>0</v>
      </c>
      <c r="I81" s="131">
        <f>IF('Subcases Monthly'!$D$4="","",VLOOKUP('Subcases Monthly'!$D$4,DataLookUp!$A$4:$AVY$70,760,FALSE))</f>
        <v>0</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36</v>
      </c>
      <c r="R81" s="486"/>
    </row>
    <row r="82" spans="1:18" ht="20.100000000000001" customHeight="1" x14ac:dyDescent="0.2">
      <c r="B82" s="190"/>
      <c r="C82" s="461" t="s">
        <v>198</v>
      </c>
      <c r="D82" s="462"/>
      <c r="E82" s="127">
        <v>22</v>
      </c>
      <c r="F82" s="128">
        <v>9</v>
      </c>
      <c r="G82" s="128">
        <f>IF('Subcases Monthly'!$D$4="","",VLOOKUP('Subcases Monthly'!$D$4,DataLookUp!$A$4:$AVY$70,771,FALSE))</f>
        <v>0</v>
      </c>
      <c r="H82" s="128">
        <f>IF('Subcases Monthly'!$D$4="","",VLOOKUP('Subcases Monthly'!$D$4,DataLookUp!$A$4:$AVY$70,772,FALSE))</f>
        <v>0</v>
      </c>
      <c r="I82" s="128">
        <f>IF('Subcases Monthly'!$D$4="","",VLOOKUP('Subcases Monthly'!$D$4,DataLookUp!$A$4:$AVY$70,773,FALSE))</f>
        <v>0</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31</v>
      </c>
      <c r="R82" s="486"/>
    </row>
    <row r="83" spans="1:18" ht="20.100000000000001" customHeight="1" x14ac:dyDescent="0.2">
      <c r="B83" s="197">
        <v>2</v>
      </c>
      <c r="C83" s="461" t="s">
        <v>391</v>
      </c>
      <c r="D83" s="462"/>
      <c r="E83" s="130">
        <v>0</v>
      </c>
      <c r="F83" s="131">
        <v>0</v>
      </c>
      <c r="G83" s="131">
        <f>IF('Subcases Monthly'!$D$4="","",VLOOKUP('Subcases Monthly'!$D$4,DataLookUp!$A$4:$AVY$70,784,FALSE))</f>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86"/>
    </row>
    <row r="84" spans="1:18" ht="20.100000000000001" customHeight="1" x14ac:dyDescent="0.2">
      <c r="B84" s="190"/>
      <c r="C84" s="461" t="s">
        <v>300</v>
      </c>
      <c r="D84" s="462"/>
      <c r="E84" s="127">
        <v>3</v>
      </c>
      <c r="F84" s="128">
        <v>9</v>
      </c>
      <c r="G84" s="128">
        <f>IF('Subcases Monthly'!$D$4="","",VLOOKUP('Subcases Monthly'!$D$4,DataLookUp!$A$4:$AVY$70,797,FALSE))</f>
        <v>0</v>
      </c>
      <c r="H84" s="128">
        <f>IF('Subcases Monthly'!$D$4="","",VLOOKUP('Subcases Monthly'!$D$4,DataLookUp!$A$4:$AVY$70,798,FALSE))</f>
        <v>0</v>
      </c>
      <c r="I84" s="128">
        <f>IF('Subcases Monthly'!$D$4="","",VLOOKUP('Subcases Monthly'!$D$4,DataLookUp!$A$4:$AVY$70,799,FALSE))</f>
        <v>0</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12</v>
      </c>
      <c r="R84" s="486"/>
    </row>
    <row r="85" spans="1:18" ht="20.100000000000001" customHeight="1" x14ac:dyDescent="0.2">
      <c r="B85" s="190"/>
      <c r="C85" s="461" t="s">
        <v>199</v>
      </c>
      <c r="D85" s="462"/>
      <c r="E85" s="130">
        <v>133</v>
      </c>
      <c r="F85" s="131">
        <v>136</v>
      </c>
      <c r="G85" s="131">
        <f>IF('Subcases Monthly'!$D$4="","",VLOOKUP('Subcases Monthly'!$D$4,DataLookUp!$A$4:$AVY$70,810,FALSE))</f>
        <v>0</v>
      </c>
      <c r="H85" s="131">
        <f>IF('Subcases Monthly'!$D$4="","",VLOOKUP('Subcases Monthly'!$D$4,DataLookUp!$A$4:$AVY$70,811,FALSE))</f>
        <v>0</v>
      </c>
      <c r="I85" s="131">
        <f>IF('Subcases Monthly'!$D$4="","",VLOOKUP('Subcases Monthly'!$D$4,DataLookUp!$A$4:$AVY$70,812,FALSE))</f>
        <v>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269</v>
      </c>
      <c r="R85" s="486"/>
    </row>
    <row r="86" spans="1:18" ht="20.100000000000001" customHeight="1" x14ac:dyDescent="0.2">
      <c r="B86" s="190"/>
      <c r="C86" s="461" t="s">
        <v>200</v>
      </c>
      <c r="D86" s="462"/>
      <c r="E86" s="127">
        <v>124</v>
      </c>
      <c r="F86" s="128">
        <v>128</v>
      </c>
      <c r="G86" s="128">
        <f>IF('Subcases Monthly'!$D$4="","",VLOOKUP('Subcases Monthly'!$D$4,DataLookUp!$A$4:$AVY$70,823,FALSE))</f>
        <v>0</v>
      </c>
      <c r="H86" s="128">
        <f>IF('Subcases Monthly'!$D$4="","",VLOOKUP('Subcases Monthly'!$D$4,DataLookUp!$A$4:$AVY$70,824,FALSE))</f>
        <v>0</v>
      </c>
      <c r="I86" s="128">
        <f>IF('Subcases Monthly'!$D$4="","",VLOOKUP('Subcases Monthly'!$D$4,DataLookUp!$A$4:$AVY$70,825,FALSE))</f>
        <v>0</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252</v>
      </c>
      <c r="R86" s="486"/>
    </row>
    <row r="87" spans="1:18" ht="20.100000000000001" customHeight="1" x14ac:dyDescent="0.2">
      <c r="B87" s="190"/>
      <c r="C87" s="461" t="s">
        <v>201</v>
      </c>
      <c r="D87" s="462"/>
      <c r="E87" s="130">
        <v>35</v>
      </c>
      <c r="F87" s="131">
        <v>38</v>
      </c>
      <c r="G87" s="131">
        <f>IF('Subcases Monthly'!$D$4="","",VLOOKUP('Subcases Monthly'!$D$4,DataLookUp!$A$4:$AVY$70,836,FALSE))</f>
        <v>0</v>
      </c>
      <c r="H87" s="131">
        <f>IF('Subcases Monthly'!$D$4="","",VLOOKUP('Subcases Monthly'!$D$4,DataLookUp!$A$4:$AVY$70,837,FALSE))</f>
        <v>0</v>
      </c>
      <c r="I87" s="131">
        <f>IF('Subcases Monthly'!$D$4="","",VLOOKUP('Subcases Monthly'!$D$4,DataLookUp!$A$4:$AVY$70,838,FALSE))</f>
        <v>0</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73</v>
      </c>
      <c r="R87" s="486"/>
    </row>
    <row r="88" spans="1:18" ht="20.100000000000001" customHeight="1" x14ac:dyDescent="0.2">
      <c r="B88" s="190"/>
      <c r="C88" s="461" t="s">
        <v>202</v>
      </c>
      <c r="D88" s="462"/>
      <c r="E88" s="127">
        <f>IF('Subcases Monthly'!$D$4="","",VLOOKUP('Subcases Monthly'!$D$4,DataLookUp!$A$4:$AVY$70,847,FALSE))</f>
        <v>0</v>
      </c>
      <c r="F88" s="128">
        <v>1</v>
      </c>
      <c r="G88" s="128">
        <f>IF('Subcases Monthly'!$D$4="","",VLOOKUP('Subcases Monthly'!$D$4,DataLookUp!$A$4:$AVY$70,849,FALSE))</f>
        <v>0</v>
      </c>
      <c r="H88" s="128">
        <f>IF('Subcases Monthly'!$D$4="","",VLOOKUP('Subcases Monthly'!$D$4,DataLookUp!$A$4:$AVY$70,850,FALSE))</f>
        <v>0</v>
      </c>
      <c r="I88" s="128">
        <f>IF('Subcases Monthly'!$D$4="","",VLOOKUP('Subcases Monthly'!$D$4,DataLookUp!$A$4:$AVY$70,851,FALSE))</f>
        <v>0</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1</v>
      </c>
      <c r="R88" s="486"/>
    </row>
    <row r="89" spans="1:18" ht="20.100000000000001" customHeight="1" x14ac:dyDescent="0.2">
      <c r="B89" s="190"/>
      <c r="C89" s="461" t="s">
        <v>203</v>
      </c>
      <c r="D89" s="462"/>
      <c r="E89" s="130">
        <v>6</v>
      </c>
      <c r="F89" s="131">
        <v>7</v>
      </c>
      <c r="G89" s="131">
        <f>IF('Subcases Monthly'!$D$4="","",VLOOKUP('Subcases Monthly'!$D$4,DataLookUp!$A$4:$AVY$70,862,FALSE))</f>
        <v>0</v>
      </c>
      <c r="H89" s="131">
        <f>IF('Subcases Monthly'!$D$4="","",VLOOKUP('Subcases Monthly'!$D$4,DataLookUp!$A$4:$AVY$70,863,FALSE))</f>
        <v>0</v>
      </c>
      <c r="I89" s="131">
        <f>IF('Subcases Monthly'!$D$4="","",VLOOKUP('Subcases Monthly'!$D$4,DataLookUp!$A$4:$AVY$70,864,FALSE))</f>
        <v>0</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13</v>
      </c>
      <c r="R89" s="486"/>
    </row>
    <row r="90" spans="1:18" ht="20.100000000000001" customHeight="1" x14ac:dyDescent="0.2">
      <c r="B90" s="190"/>
      <c r="C90" s="461" t="s">
        <v>204</v>
      </c>
      <c r="D90" s="462"/>
      <c r="E90" s="127">
        <f>IF('Subcases Monthly'!$D$4="","",VLOOKUP('Subcases Monthly'!$D$4,DataLookUp!$A$4:$AVY$70,873,FALSE))</f>
        <v>0</v>
      </c>
      <c r="F90" s="128">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86"/>
    </row>
    <row r="91" spans="1:18" ht="20.100000000000001" customHeight="1" x14ac:dyDescent="0.2">
      <c r="B91" s="190"/>
      <c r="C91" s="461" t="s">
        <v>205</v>
      </c>
      <c r="D91" s="462"/>
      <c r="E91" s="130">
        <f>IF('Subcases Monthly'!$D$4="","",VLOOKUP('Subcases Monthly'!$D$4,DataLookUp!$A$4:$AVY$70,886,FALSE))</f>
        <v>0</v>
      </c>
      <c r="F91" s="131">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86"/>
    </row>
    <row r="92" spans="1:18" ht="20.100000000000001" customHeight="1" x14ac:dyDescent="0.2">
      <c r="B92" s="190"/>
      <c r="C92" s="461" t="s">
        <v>388</v>
      </c>
      <c r="D92" s="462"/>
      <c r="E92" s="127">
        <f>IF('Subcases Monthly'!$D$4="","",VLOOKUP('Subcases Monthly'!$D$4,DataLookUp!$A$4:$AVY$70,899,FALSE))</f>
        <v>0</v>
      </c>
      <c r="F92" s="128">
        <v>1</v>
      </c>
      <c r="G92" s="128">
        <f>IF('Subcases Monthly'!$D$4="","",VLOOKUP('Subcases Monthly'!$D$4,DataLookUp!$A$4:$AVY$70,901,FALSE))</f>
        <v>0</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1</v>
      </c>
      <c r="R92" s="486"/>
    </row>
    <row r="93" spans="1:18" ht="20.100000000000001" customHeight="1" thickBot="1" x14ac:dyDescent="0.25">
      <c r="B93" s="199">
        <v>1</v>
      </c>
      <c r="C93" s="469" t="s">
        <v>157</v>
      </c>
      <c r="D93" s="470"/>
      <c r="E93" s="220">
        <f>IF('Subcases Monthly'!$D$4="","",VLOOKUP('Subcases Monthly'!$D$4,DataLookUp!$A$4:$AVY$70,912,FALSE))</f>
        <v>0</v>
      </c>
      <c r="F93" s="221">
        <v>0</v>
      </c>
      <c r="G93" s="221">
        <f>IF('Subcases Monthly'!$D$4="","",VLOOKUP('Subcases Monthly'!$D$4,DataLookUp!$A$4:$AVY$70,914,FALSE))</f>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87"/>
    </row>
    <row r="94" spans="1:18" s="13" customFormat="1" ht="20.100000000000001" customHeight="1" thickTop="1" thickBot="1" x14ac:dyDescent="0.25">
      <c r="B94" s="192"/>
      <c r="C94" s="471" t="s">
        <v>394</v>
      </c>
      <c r="D94" s="472"/>
      <c r="E94" s="211">
        <f t="shared" ref="E94:P94" si="40">SUM(E77:E93)</f>
        <v>605</v>
      </c>
      <c r="F94" s="212">
        <f t="shared" si="40"/>
        <v>591</v>
      </c>
      <c r="G94" s="212">
        <f t="shared" si="40"/>
        <v>0</v>
      </c>
      <c r="H94" s="212">
        <f t="shared" si="40"/>
        <v>0</v>
      </c>
      <c r="I94" s="212">
        <f t="shared" si="40"/>
        <v>0</v>
      </c>
      <c r="J94" s="212">
        <f t="shared" si="40"/>
        <v>0</v>
      </c>
      <c r="K94" s="212">
        <f t="shared" si="40"/>
        <v>0</v>
      </c>
      <c r="L94" s="212">
        <f t="shared" si="40"/>
        <v>0</v>
      </c>
      <c r="M94" s="212">
        <f t="shared" si="40"/>
        <v>0</v>
      </c>
      <c r="N94" s="212">
        <f t="shared" si="40"/>
        <v>0</v>
      </c>
      <c r="O94" s="212">
        <f t="shared" si="40"/>
        <v>0</v>
      </c>
      <c r="P94" s="213">
        <f t="shared" si="40"/>
        <v>0</v>
      </c>
      <c r="Q94" s="140">
        <f t="shared" si="39"/>
        <v>1196</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4" t="s">
        <v>206</v>
      </c>
      <c r="D97" s="475"/>
      <c r="E97" s="124">
        <v>23</v>
      </c>
      <c r="F97" s="125">
        <v>21</v>
      </c>
      <c r="G97" s="125">
        <f>IF('Subcases Monthly'!$D$4="","",VLOOKUP('Subcases Monthly'!$D$4,DataLookUp!$A$4:$AVY$70,940,FALSE))</f>
        <v>0</v>
      </c>
      <c r="H97" s="125">
        <f>IF('Subcases Monthly'!$D$4="","",VLOOKUP('Subcases Monthly'!$D$4,DataLookUp!$A$4:$AVY$70,941,FALSE))</f>
        <v>0</v>
      </c>
      <c r="I97" s="125">
        <f>IF('Subcases Monthly'!$D$4="","",VLOOKUP('Subcases Monthly'!$D$4,DataLookUp!$A$4:$AVY$70,942,FALSE))</f>
        <v>0</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44</v>
      </c>
      <c r="R97" s="485">
        <f>IF('Subcases Monthly'!$D$4="","",VLOOKUP('Subcases Monthly'!$D$4,DataLookUp!$A$4:$AVY$70,1271,FALSE))</f>
        <v>0</v>
      </c>
    </row>
    <row r="98" spans="1:18" ht="20.100000000000001" customHeight="1" x14ac:dyDescent="0.2">
      <c r="A98" s="8"/>
      <c r="B98" s="190"/>
      <c r="C98" s="461" t="s">
        <v>207</v>
      </c>
      <c r="D98" s="462"/>
      <c r="E98" s="127">
        <v>156</v>
      </c>
      <c r="F98" s="128">
        <v>131</v>
      </c>
      <c r="G98" s="128">
        <f>IF('Subcases Monthly'!$D$4="","",VLOOKUP('Subcases Monthly'!$D$4,DataLookUp!$A$4:$AVY$70,953,FALSE))</f>
        <v>0</v>
      </c>
      <c r="H98" s="128">
        <f>IF('Subcases Monthly'!$D$4="","",VLOOKUP('Subcases Monthly'!$D$4,DataLookUp!$A$4:$AVY$70,954,FALSE))</f>
        <v>0</v>
      </c>
      <c r="I98" s="128">
        <f>IF('Subcases Monthly'!$D$4="","",VLOOKUP('Subcases Monthly'!$D$4,DataLookUp!$A$4:$AVY$70,955,FALSE))</f>
        <v>0</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287</v>
      </c>
      <c r="R98" s="486"/>
    </row>
    <row r="99" spans="1:18" ht="20.100000000000001" customHeight="1" x14ac:dyDescent="0.2">
      <c r="A99" s="8"/>
      <c r="B99" s="190"/>
      <c r="C99" s="461" t="s">
        <v>208</v>
      </c>
      <c r="D99" s="462"/>
      <c r="E99" s="130">
        <v>175</v>
      </c>
      <c r="F99" s="131">
        <v>146</v>
      </c>
      <c r="G99" s="131">
        <f>IF('Subcases Monthly'!$D$4="","",VLOOKUP('Subcases Monthly'!$D$4,DataLookUp!$A$4:$AVY$70,966,FALSE))</f>
        <v>0</v>
      </c>
      <c r="H99" s="131">
        <f>IF('Subcases Monthly'!$D$4="","",VLOOKUP('Subcases Monthly'!$D$4,DataLookUp!$A$4:$AVY$70,967,FALSE))</f>
        <v>0</v>
      </c>
      <c r="I99" s="131">
        <f>IF('Subcases Monthly'!$D$4="","",VLOOKUP('Subcases Monthly'!$D$4,DataLookUp!$A$4:$AVY$70,968,FALSE))</f>
        <v>0</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321</v>
      </c>
      <c r="R99" s="486"/>
    </row>
    <row r="100" spans="1:18" ht="20.100000000000001" customHeight="1" x14ac:dyDescent="0.2">
      <c r="A100" s="8"/>
      <c r="B100" s="190"/>
      <c r="C100" s="461" t="s">
        <v>209</v>
      </c>
      <c r="D100" s="462"/>
      <c r="E100" s="127">
        <v>11</v>
      </c>
      <c r="F100" s="128">
        <v>9</v>
      </c>
      <c r="G100" s="128">
        <f>IF('Subcases Monthly'!$D$4="","",VLOOKUP('Subcases Monthly'!$D$4,DataLookUp!$A$4:$AVY$70,979,FALSE))</f>
        <v>0</v>
      </c>
      <c r="H100" s="128">
        <f>IF('Subcases Monthly'!$D$4="","",VLOOKUP('Subcases Monthly'!$D$4,DataLookUp!$A$4:$AVY$70,980,FALSE))</f>
        <v>0</v>
      </c>
      <c r="I100" s="128">
        <f>IF('Subcases Monthly'!$D$4="","",VLOOKUP('Subcases Monthly'!$D$4,DataLookUp!$A$4:$AVY$70,981,FALSE))</f>
        <v>0</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20</v>
      </c>
      <c r="R100" s="486"/>
    </row>
    <row r="101" spans="1:18" ht="20.100000000000001" customHeight="1" x14ac:dyDescent="0.2">
      <c r="A101" s="8"/>
      <c r="B101" s="190"/>
      <c r="C101" s="461" t="s">
        <v>210</v>
      </c>
      <c r="D101" s="462"/>
      <c r="E101" s="130">
        <v>1</v>
      </c>
      <c r="F101" s="131">
        <v>1</v>
      </c>
      <c r="G101" s="131">
        <f>IF('Subcases Monthly'!$D$4="","",VLOOKUP('Subcases Monthly'!$D$4,DataLookUp!$A$4:$AVY$70,992,FALSE))</f>
        <v>0</v>
      </c>
      <c r="H101" s="131">
        <f>IF('Subcases Monthly'!$D$4="","",VLOOKUP('Subcases Monthly'!$D$4,DataLookUp!$A$4:$AVY$70,993,FALSE))</f>
        <v>0</v>
      </c>
      <c r="I101" s="131">
        <f>IF('Subcases Monthly'!$D$4="","",VLOOKUP('Subcases Monthly'!$D$4,DataLookUp!$A$4:$AVY$70,994,FALSE))</f>
        <v>0</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2</v>
      </c>
      <c r="R101" s="486"/>
    </row>
    <row r="102" spans="1:18" ht="20.100000000000001" customHeight="1" x14ac:dyDescent="0.2">
      <c r="A102" s="8"/>
      <c r="B102" s="190"/>
      <c r="C102" s="461" t="s">
        <v>211</v>
      </c>
      <c r="D102" s="462"/>
      <c r="E102" s="127">
        <v>15</v>
      </c>
      <c r="F102" s="128">
        <v>12</v>
      </c>
      <c r="G102" s="128">
        <f>IF('Subcases Monthly'!$D$4="","",VLOOKUP('Subcases Monthly'!$D$4,DataLookUp!$A$4:$AVY$70,1005,FALSE))</f>
        <v>0</v>
      </c>
      <c r="H102" s="128">
        <f>IF('Subcases Monthly'!$D$4="","",VLOOKUP('Subcases Monthly'!$D$4,DataLookUp!$A$4:$AVY$70,1006,FALSE))</f>
        <v>0</v>
      </c>
      <c r="I102" s="128">
        <f>IF('Subcases Monthly'!$D$4="","",VLOOKUP('Subcases Monthly'!$D$4,DataLookUp!$A$4:$AVY$70,1007,FALSE))</f>
        <v>0</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27</v>
      </c>
      <c r="R102" s="486"/>
    </row>
    <row r="103" spans="1:18" ht="20.100000000000001" customHeight="1" x14ac:dyDescent="0.2">
      <c r="A103" s="8"/>
      <c r="B103" s="190"/>
      <c r="C103" s="461" t="s">
        <v>212</v>
      </c>
      <c r="D103" s="462"/>
      <c r="E103" s="130">
        <v>15</v>
      </c>
      <c r="F103" s="131">
        <v>22</v>
      </c>
      <c r="G103" s="131">
        <f>IF('Subcases Monthly'!$D$4="","",VLOOKUP('Subcases Monthly'!$D$4,DataLookUp!$A$4:$AVY$70,1018,FALSE))</f>
        <v>0</v>
      </c>
      <c r="H103" s="131">
        <f>IF('Subcases Monthly'!$D$4="","",VLOOKUP('Subcases Monthly'!$D$4,DataLookUp!$A$4:$AVY$70,1019,FALSE))</f>
        <v>0</v>
      </c>
      <c r="I103" s="131">
        <f>IF('Subcases Monthly'!$D$4="","",VLOOKUP('Subcases Monthly'!$D$4,DataLookUp!$A$4:$AVY$70,1020,FALSE))</f>
        <v>0</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37</v>
      </c>
      <c r="R103" s="486"/>
    </row>
    <row r="104" spans="1:18" ht="20.100000000000001" customHeight="1" x14ac:dyDescent="0.2">
      <c r="A104" s="8"/>
      <c r="B104" s="190"/>
      <c r="C104" s="461" t="s">
        <v>213</v>
      </c>
      <c r="D104" s="462"/>
      <c r="E104" s="127">
        <v>20</v>
      </c>
      <c r="F104" s="128">
        <v>19</v>
      </c>
      <c r="G104" s="128">
        <f>IF('Subcases Monthly'!$D$4="","",VLOOKUP('Subcases Monthly'!$D$4,DataLookUp!$A$4:$AVY$70,1031,FALSE))</f>
        <v>0</v>
      </c>
      <c r="H104" s="128">
        <f>IF('Subcases Monthly'!$D$4="","",VLOOKUP('Subcases Monthly'!$D$4,DataLookUp!$A$4:$AVY$70,1032,FALSE))</f>
        <v>0</v>
      </c>
      <c r="I104" s="128">
        <f>IF('Subcases Monthly'!$D$4="","",VLOOKUP('Subcases Monthly'!$D$4,DataLookUp!$A$4:$AVY$70,1033,FALSE))</f>
        <v>0</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39</v>
      </c>
      <c r="R104" s="486"/>
    </row>
    <row r="105" spans="1:18" ht="20.100000000000001" customHeight="1" x14ac:dyDescent="0.2">
      <c r="A105" s="8"/>
      <c r="B105" s="190"/>
      <c r="C105" s="461" t="s">
        <v>214</v>
      </c>
      <c r="D105" s="462"/>
      <c r="E105" s="130">
        <v>21</v>
      </c>
      <c r="F105" s="131">
        <v>18</v>
      </c>
      <c r="G105" s="131">
        <f>IF('Subcases Monthly'!$D$4="","",VLOOKUP('Subcases Monthly'!$D$4,DataLookUp!$A$4:$AVY$70,1044,FALSE))</f>
        <v>0</v>
      </c>
      <c r="H105" s="131">
        <f>IF('Subcases Monthly'!$D$4="","",VLOOKUP('Subcases Monthly'!$D$4,DataLookUp!$A$4:$AVY$70,1045,FALSE))</f>
        <v>0</v>
      </c>
      <c r="I105" s="131">
        <f>IF('Subcases Monthly'!$D$4="","",VLOOKUP('Subcases Monthly'!$D$4,DataLookUp!$A$4:$AVY$70,1046,FALSE))</f>
        <v>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39</v>
      </c>
      <c r="R105" s="486"/>
    </row>
    <row r="106" spans="1:18" ht="20.100000000000001" customHeight="1" x14ac:dyDescent="0.2">
      <c r="A106" s="8"/>
      <c r="B106" s="190"/>
      <c r="C106" s="461" t="s">
        <v>215</v>
      </c>
      <c r="D106" s="462"/>
      <c r="E106" s="127">
        <v>21</v>
      </c>
      <c r="F106" s="128">
        <v>31</v>
      </c>
      <c r="G106" s="128">
        <f>IF('Subcases Monthly'!$D$4="","",VLOOKUP('Subcases Monthly'!$D$4,DataLookUp!$A$4:$AVY$70,1057,FALSE))</f>
        <v>0</v>
      </c>
      <c r="H106" s="128">
        <f>IF('Subcases Monthly'!$D$4="","",VLOOKUP('Subcases Monthly'!$D$4,DataLookUp!$A$4:$AVY$70,1058,FALSE))</f>
        <v>0</v>
      </c>
      <c r="I106" s="128">
        <f>IF('Subcases Monthly'!$D$4="","",VLOOKUP('Subcases Monthly'!$D$4,DataLookUp!$A$4:$AVY$70,1059,FALSE))</f>
        <v>0</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52</v>
      </c>
      <c r="R106" s="486"/>
    </row>
    <row r="107" spans="1:18" ht="20.100000000000001" customHeight="1" thickBot="1" x14ac:dyDescent="0.25">
      <c r="A107" s="8"/>
      <c r="B107" s="199">
        <v>1</v>
      </c>
      <c r="C107" s="469" t="s">
        <v>157</v>
      </c>
      <c r="D107" s="470"/>
      <c r="E107" s="241">
        <f>IF('Subcases Monthly'!$D$4="","",VLOOKUP('Subcases Monthly'!$D$4,DataLookUp!$A$4:$AVY$70,1068,FALSE))</f>
        <v>0</v>
      </c>
      <c r="F107" s="242">
        <v>0</v>
      </c>
      <c r="G107" s="242">
        <f>IF('Subcases Monthly'!$D$4="","",VLOOKUP('Subcases Monthly'!$D$4,DataLookUp!$A$4:$AVY$70,1070,FALSE))</f>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87"/>
    </row>
    <row r="108" spans="1:18" ht="20.100000000000001" customHeight="1" thickTop="1" thickBot="1" x14ac:dyDescent="0.25">
      <c r="A108" s="8"/>
      <c r="B108" s="192"/>
      <c r="C108" s="471" t="s">
        <v>395</v>
      </c>
      <c r="D108" s="472"/>
      <c r="E108" s="244">
        <f>SUM(E97:E107)</f>
        <v>458</v>
      </c>
      <c r="F108" s="245">
        <f t="shared" ref="F108:P108" si="43">SUM(F97:F107)</f>
        <v>410</v>
      </c>
      <c r="G108" s="245">
        <f t="shared" si="43"/>
        <v>0</v>
      </c>
      <c r="H108" s="245">
        <f t="shared" si="43"/>
        <v>0</v>
      </c>
      <c r="I108" s="245">
        <f t="shared" si="43"/>
        <v>0</v>
      </c>
      <c r="J108" s="245">
        <f t="shared" si="43"/>
        <v>0</v>
      </c>
      <c r="K108" s="245">
        <f t="shared" si="43"/>
        <v>0</v>
      </c>
      <c r="L108" s="245">
        <f t="shared" si="43"/>
        <v>0</v>
      </c>
      <c r="M108" s="245">
        <f t="shared" si="43"/>
        <v>0</v>
      </c>
      <c r="N108" s="245">
        <f t="shared" si="43"/>
        <v>0</v>
      </c>
      <c r="O108" s="245">
        <f t="shared" si="43"/>
        <v>0</v>
      </c>
      <c r="P108" s="246">
        <f t="shared" si="43"/>
        <v>0</v>
      </c>
      <c r="Q108" s="146">
        <f t="shared" si="42"/>
        <v>868</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4" t="s">
        <v>216</v>
      </c>
      <c r="D111" s="475"/>
      <c r="E111" s="124">
        <v>15</v>
      </c>
      <c r="F111" s="125">
        <v>18</v>
      </c>
      <c r="G111" s="125">
        <f>IF('Subcases Monthly'!$D$4="","",VLOOKUP('Subcases Monthly'!$D$4,DataLookUp!$A$4:$AVY$70,1096,FALSE))</f>
        <v>0</v>
      </c>
      <c r="H111" s="125">
        <f>IF('Subcases Monthly'!$D$4="","",VLOOKUP('Subcases Monthly'!$D$4,DataLookUp!$A$4:$AVY$70,1097,FALSE))</f>
        <v>0</v>
      </c>
      <c r="I111" s="125">
        <f>IF('Subcases Monthly'!$D$4="","",VLOOKUP('Subcases Monthly'!$D$4,DataLookUp!$A$4:$AVY$70,1098,FALSE))</f>
        <v>0</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33</v>
      </c>
      <c r="R111" s="485">
        <f>IF('Subcases Monthly'!$D$4="","",VLOOKUP('Subcases Monthly'!$D$4,DataLookUp!$A$4:$AVY$70,1272,FALSE))</f>
        <v>0</v>
      </c>
    </row>
    <row r="112" spans="1:18" ht="20.100000000000001" customHeight="1" x14ac:dyDescent="0.2">
      <c r="B112" s="190"/>
      <c r="C112" s="461" t="s">
        <v>217</v>
      </c>
      <c r="D112" s="462"/>
      <c r="E112" s="127">
        <f>IF('Subcases Monthly'!$D$4="","",VLOOKUP('Subcases Monthly'!$D$4,DataLookUp!$A$4:$AVY$70,1107,FALSE))</f>
        <v>0</v>
      </c>
      <c r="F112" s="128">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0</v>
      </c>
      <c r="R112" s="486"/>
    </row>
    <row r="113" spans="2:18" ht="20.100000000000001" customHeight="1" x14ac:dyDescent="0.2">
      <c r="B113" s="190"/>
      <c r="C113" s="461" t="s">
        <v>218</v>
      </c>
      <c r="D113" s="462"/>
      <c r="E113" s="130">
        <f>IF('Subcases Monthly'!$D$4="","",VLOOKUP('Subcases Monthly'!$D$4,DataLookUp!$A$4:$AVY$70,1120,FALSE))</f>
        <v>0</v>
      </c>
      <c r="F113" s="131">
        <v>0</v>
      </c>
      <c r="G113" s="131">
        <f>IF('Subcases Monthly'!$D$4="","",VLOOKUP('Subcases Monthly'!$D$4,DataLookUp!$A$4:$AVY$70,1122,FALSE))</f>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86"/>
    </row>
    <row r="114" spans="2:18" ht="20.100000000000001" customHeight="1" x14ac:dyDescent="0.2">
      <c r="B114" s="190"/>
      <c r="C114" s="461" t="s">
        <v>219</v>
      </c>
      <c r="D114" s="462"/>
      <c r="E114" s="127">
        <f>IF('Subcases Monthly'!$D$4="","",VLOOKUP('Subcases Monthly'!$D$4,DataLookUp!$A$4:$AVY$70,1133,FALSE))</f>
        <v>0</v>
      </c>
      <c r="F114" s="128">
        <v>0</v>
      </c>
      <c r="G114" s="128">
        <f>IF('Subcases Monthly'!$D$4="","",VLOOKUP('Subcases Monthly'!$D$4,DataLookUp!$A$4:$AVY$70,1135,FALSE))</f>
        <v>0</v>
      </c>
      <c r="H114" s="128">
        <f>IF('Subcases Monthly'!$D$4="","",VLOOKUP('Subcases Monthly'!$D$4,DataLookUp!$A$4:$AVY$70,1136,FALSE))</f>
        <v>0</v>
      </c>
      <c r="I114" s="128">
        <f>IF('Subcases Monthly'!$D$4="","",VLOOKUP('Subcases Monthly'!$D$4,DataLookUp!$A$4:$AVY$70,1137,FALSE))</f>
        <v>0</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0</v>
      </c>
      <c r="R114" s="486"/>
    </row>
    <row r="115" spans="2:18" ht="20.100000000000001" customHeight="1" x14ac:dyDescent="0.2">
      <c r="B115" s="190"/>
      <c r="C115" s="461" t="s">
        <v>220</v>
      </c>
      <c r="D115" s="462"/>
      <c r="E115" s="130">
        <v>3</v>
      </c>
      <c r="F115" s="131">
        <v>2</v>
      </c>
      <c r="G115" s="131">
        <f>IF('Subcases Monthly'!$D$4="","",VLOOKUP('Subcases Monthly'!$D$4,DataLookUp!$A$4:$AVY$70,1148,FALSE))</f>
        <v>0</v>
      </c>
      <c r="H115" s="131">
        <f>IF('Subcases Monthly'!$D$4="","",VLOOKUP('Subcases Monthly'!$D$4,DataLookUp!$A$4:$AVY$70,1149,FALSE))</f>
        <v>0</v>
      </c>
      <c r="I115" s="131">
        <f>IF('Subcases Monthly'!$D$4="","",VLOOKUP('Subcases Monthly'!$D$4,DataLookUp!$A$4:$AVY$70,1150,FALSE))</f>
        <v>0</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5</v>
      </c>
      <c r="R115" s="486"/>
    </row>
    <row r="116" spans="2:18" ht="20.100000000000001" customHeight="1" x14ac:dyDescent="0.2">
      <c r="B116" s="190"/>
      <c r="C116" s="461" t="s">
        <v>164</v>
      </c>
      <c r="D116" s="462"/>
      <c r="E116" s="127">
        <f>IF('Subcases Monthly'!$D$4="","",VLOOKUP('Subcases Monthly'!$D$4,DataLookUp!$A$4:$AVY$70,1159,FALSE))</f>
        <v>0</v>
      </c>
      <c r="F116" s="128">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86"/>
    </row>
    <row r="117" spans="2:18" ht="20.100000000000001" customHeight="1" x14ac:dyDescent="0.2">
      <c r="B117" s="190"/>
      <c r="C117" s="461" t="s">
        <v>225</v>
      </c>
      <c r="D117" s="462"/>
      <c r="E117" s="130">
        <f>IF('Subcases Monthly'!$D$4="","",VLOOKUP('Subcases Monthly'!$D$4,DataLookUp!$A$4:$AVY$70,1172,FALSE))</f>
        <v>0</v>
      </c>
      <c r="F117" s="131">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86"/>
    </row>
    <row r="118" spans="2:18" ht="20.100000000000001" customHeight="1" x14ac:dyDescent="0.2">
      <c r="B118" s="190"/>
      <c r="C118" s="461" t="s">
        <v>221</v>
      </c>
      <c r="D118" s="462"/>
      <c r="E118" s="127">
        <f>IF('Subcases Monthly'!$D$4="","",VLOOKUP('Subcases Monthly'!$D$4,DataLookUp!$A$4:$AVY$70,1185,FALSE))</f>
        <v>0</v>
      </c>
      <c r="F118" s="128">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86"/>
    </row>
    <row r="119" spans="2:18" ht="20.100000000000001" customHeight="1" thickBot="1" x14ac:dyDescent="0.25">
      <c r="B119" s="199">
        <v>1</v>
      </c>
      <c r="C119" s="469" t="s">
        <v>157</v>
      </c>
      <c r="D119" s="470"/>
      <c r="E119" s="220">
        <f>IF('Subcases Monthly'!$D$4="","",VLOOKUP('Subcases Monthly'!$D$4,DataLookUp!$A$4:$AVY$70,1198,FALSE))</f>
        <v>0</v>
      </c>
      <c r="F119" s="221">
        <v>0</v>
      </c>
      <c r="G119" s="221">
        <f>IF('Subcases Monthly'!$D$4="","",VLOOKUP('Subcases Monthly'!$D$4,DataLookUp!$A$4:$AVY$70,1200,FALSE))</f>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87"/>
    </row>
    <row r="120" spans="2:18" s="13" customFormat="1" ht="20.100000000000001" customHeight="1" thickTop="1" thickBot="1" x14ac:dyDescent="0.25">
      <c r="B120" s="192"/>
      <c r="C120" s="471" t="s">
        <v>396</v>
      </c>
      <c r="D120" s="472"/>
      <c r="E120" s="244">
        <f>SUM(E111:E119)</f>
        <v>18</v>
      </c>
      <c r="F120" s="245">
        <f t="shared" ref="F120:P120" si="46">SUM(F111:F119)</f>
        <v>20</v>
      </c>
      <c r="G120" s="245">
        <f t="shared" si="46"/>
        <v>0</v>
      </c>
      <c r="H120" s="245">
        <f t="shared" si="46"/>
        <v>0</v>
      </c>
      <c r="I120" s="245">
        <f t="shared" si="46"/>
        <v>0</v>
      </c>
      <c r="J120" s="245">
        <f t="shared" si="46"/>
        <v>0</v>
      </c>
      <c r="K120" s="245">
        <f t="shared" si="46"/>
        <v>0</v>
      </c>
      <c r="L120" s="245">
        <f t="shared" si="46"/>
        <v>0</v>
      </c>
      <c r="M120" s="245">
        <f t="shared" si="46"/>
        <v>0</v>
      </c>
      <c r="N120" s="245">
        <f t="shared" si="46"/>
        <v>0</v>
      </c>
      <c r="O120" s="245">
        <f t="shared" si="46"/>
        <v>0</v>
      </c>
      <c r="P120" s="246">
        <f t="shared" si="46"/>
        <v>0</v>
      </c>
      <c r="Q120" s="146">
        <f t="shared" si="45"/>
        <v>38</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67" t="s">
        <v>223</v>
      </c>
      <c r="D123" s="468"/>
      <c r="E123" s="147">
        <v>3260</v>
      </c>
      <c r="F123" s="148">
        <v>3692</v>
      </c>
      <c r="G123" s="148">
        <f>IF('Subcases Monthly'!$D$4="","",VLOOKUP('Subcases Monthly'!$D$4,DataLookUp!$A$4:$AVY$70,1226,FALSE))</f>
        <v>0</v>
      </c>
      <c r="H123" s="148">
        <f>IF('Subcases Monthly'!$D$4="","",VLOOKUP('Subcases Monthly'!$D$4,DataLookUp!$A$4:$AVY$70,1227,FALSE))</f>
        <v>0</v>
      </c>
      <c r="I123" s="148">
        <f>IF('Subcases Monthly'!$D$4="","",VLOOKUP('Subcases Monthly'!$D$4,DataLookUp!$A$4:$AVY$70,1228,FALSE))</f>
        <v>0</v>
      </c>
      <c r="J123" s="148">
        <f>IF('Subcases Monthly'!$D$4="","",VLOOKUP('Subcases Monthly'!$D$4,DataLookUp!$A$4:$AVY$70,1229,FALSE))</f>
        <v>0</v>
      </c>
      <c r="K123" s="148">
        <f>IF('Subcases Monthly'!$D$4="","",VLOOKUP('Subcases Monthly'!$D$4,DataLookUp!$A$4:$AVY$70,1230,FALSE))</f>
        <v>0</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6952</v>
      </c>
      <c r="R123" s="485">
        <f>IF('Subcases Monthly'!$D$4="","",VLOOKUP('Subcases Monthly'!$D$4,DataLookUp!$A$4:$AVY$70,1273,FALSE))</f>
        <v>0</v>
      </c>
    </row>
    <row r="124" spans="2:18" ht="20.100000000000001" customHeight="1" thickTop="1" thickBot="1" x14ac:dyDescent="0.25">
      <c r="B124" s="194"/>
      <c r="C124" s="465" t="s">
        <v>397</v>
      </c>
      <c r="D124" s="466"/>
      <c r="E124" s="244">
        <f>SUM(E123:E123)</f>
        <v>3260</v>
      </c>
      <c r="F124" s="245">
        <f t="shared" ref="F124:P124" si="49">SUM(F123:F123)</f>
        <v>3692</v>
      </c>
      <c r="G124" s="245">
        <f t="shared" si="49"/>
        <v>0</v>
      </c>
      <c r="H124" s="245">
        <f t="shared" si="49"/>
        <v>0</v>
      </c>
      <c r="I124" s="245">
        <f t="shared" si="49"/>
        <v>0</v>
      </c>
      <c r="J124" s="245">
        <f t="shared" si="49"/>
        <v>0</v>
      </c>
      <c r="K124" s="245">
        <f t="shared" si="49"/>
        <v>0</v>
      </c>
      <c r="L124" s="245">
        <f t="shared" si="49"/>
        <v>0</v>
      </c>
      <c r="M124" s="245">
        <f t="shared" si="49"/>
        <v>0</v>
      </c>
      <c r="N124" s="245">
        <f t="shared" si="49"/>
        <v>0</v>
      </c>
      <c r="O124" s="245">
        <f t="shared" si="49"/>
        <v>0</v>
      </c>
      <c r="P124" s="246">
        <f t="shared" si="49"/>
        <v>0</v>
      </c>
      <c r="Q124" s="146">
        <f t="shared" si="48"/>
        <v>6952</v>
      </c>
      <c r="R124" s="486"/>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6"/>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6"/>
    </row>
    <row r="127" spans="2:18" s="9" customFormat="1" ht="14.25" thickBot="1" x14ac:dyDescent="0.25">
      <c r="B127" s="473" t="s">
        <v>378</v>
      </c>
      <c r="C127" s="473"/>
      <c r="Q127" s="450"/>
      <c r="R127" s="487"/>
    </row>
    <row r="128" spans="2:18" s="209" customFormat="1" ht="13.5" x14ac:dyDescent="0.2">
      <c r="B128" s="464" t="s">
        <v>407</v>
      </c>
      <c r="C128" s="464"/>
      <c r="D128" s="464"/>
      <c r="E128" s="464"/>
      <c r="F128" s="464"/>
      <c r="G128" s="464"/>
      <c r="H128" s="464"/>
      <c r="I128" s="464"/>
      <c r="J128" s="464"/>
      <c r="K128" s="464"/>
      <c r="L128" s="464"/>
      <c r="M128" s="464"/>
      <c r="N128" s="464"/>
      <c r="O128" s="464"/>
      <c r="P128" s="464"/>
      <c r="Q128" s="464"/>
    </row>
    <row r="129" spans="1:18" s="209" customFormat="1" ht="13.5" x14ac:dyDescent="0.2">
      <c r="B129" s="464"/>
      <c r="C129" s="464"/>
      <c r="D129" s="464"/>
      <c r="E129" s="464"/>
      <c r="F129" s="464"/>
      <c r="G129" s="464"/>
      <c r="H129" s="464"/>
      <c r="I129" s="464"/>
      <c r="J129" s="464"/>
      <c r="K129" s="464"/>
      <c r="L129" s="464"/>
      <c r="M129" s="464"/>
      <c r="N129" s="464"/>
      <c r="O129" s="464"/>
      <c r="P129" s="464"/>
      <c r="Q129" s="464"/>
    </row>
    <row r="130" spans="1:18" s="209" customFormat="1" ht="15" x14ac:dyDescent="0.2">
      <c r="A130" s="210"/>
      <c r="B130" s="463" t="s">
        <v>402</v>
      </c>
      <c r="C130" s="463"/>
      <c r="D130" s="463"/>
      <c r="E130" s="463"/>
      <c r="F130" s="463"/>
      <c r="G130" s="463"/>
      <c r="H130" s="463"/>
      <c r="I130" s="463"/>
      <c r="J130" s="463"/>
      <c r="K130" s="463"/>
      <c r="L130" s="463"/>
      <c r="M130" s="463"/>
      <c r="N130" s="463"/>
      <c r="O130" s="463"/>
      <c r="P130" s="463"/>
      <c r="Q130" s="463"/>
      <c r="R130" s="9"/>
    </row>
    <row r="131" spans="1:18" s="209" customFormat="1" ht="15" x14ac:dyDescent="0.2">
      <c r="A131" s="210"/>
      <c r="B131" s="463" t="s">
        <v>403</v>
      </c>
      <c r="C131" s="463"/>
      <c r="D131" s="463"/>
      <c r="E131" s="463"/>
      <c r="F131" s="463"/>
      <c r="G131" s="463"/>
      <c r="H131" s="463"/>
      <c r="I131" s="463"/>
      <c r="J131" s="463"/>
      <c r="K131" s="463"/>
      <c r="L131" s="463"/>
      <c r="M131" s="463"/>
      <c r="N131" s="463"/>
      <c r="O131" s="463"/>
      <c r="P131" s="463"/>
      <c r="Q131" s="463"/>
      <c r="R131" s="9"/>
    </row>
    <row r="132" spans="1:18" s="209" customFormat="1" ht="15" x14ac:dyDescent="0.2">
      <c r="A132" s="210"/>
      <c r="B132" s="463" t="s">
        <v>408</v>
      </c>
      <c r="C132" s="463"/>
      <c r="D132" s="463"/>
      <c r="E132" s="463"/>
      <c r="F132" s="463"/>
      <c r="G132" s="463"/>
      <c r="H132" s="463"/>
      <c r="I132" s="463"/>
      <c r="J132" s="463"/>
      <c r="K132" s="463"/>
      <c r="L132" s="463"/>
      <c r="M132" s="463"/>
      <c r="N132" s="463"/>
      <c r="O132" s="463"/>
      <c r="P132" s="463"/>
      <c r="Q132" s="463"/>
    </row>
    <row r="133" spans="1:18" s="9" customFormat="1" ht="13.5" x14ac:dyDescent="0.25">
      <c r="B133" s="483" t="s">
        <v>1907</v>
      </c>
      <c r="C133" s="483"/>
      <c r="D133" s="483"/>
      <c r="E133" s="483"/>
      <c r="F133" s="483"/>
      <c r="G133" s="483"/>
      <c r="H133" s="483"/>
      <c r="I133" s="483"/>
      <c r="J133" s="483"/>
      <c r="K133" s="483"/>
      <c r="L133" s="483"/>
      <c r="M133" s="483"/>
      <c r="N133" s="483"/>
      <c r="O133" s="483"/>
      <c r="P133" s="483"/>
      <c r="Q133" s="483"/>
    </row>
  </sheetData>
  <sheetProtection algorithmName="SHA-512" hashValue="RscaFN1rR7q0B/F9y0inUWlGnHnM5cIMdKvIO7djVQzyiBmZMES4k0fb8WuT5ip4RkoUYJ0Hev+reXkRQ4srig==" saltValue="OXb9xm+ZS/kJV6XnRuQ8Vg==" spinCount="100000" sheet="1" objects="1" scenarios="1" selectLockedCells="1"/>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3" t="s">
        <v>415</v>
      </c>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5"/>
      <c r="AP1" s="606" t="s">
        <v>416</v>
      </c>
      <c r="AQ1" s="607"/>
      <c r="AR1" s="607"/>
      <c r="AS1" s="607"/>
      <c r="AT1" s="607"/>
      <c r="AU1" s="607"/>
      <c r="AV1" s="607"/>
      <c r="AW1" s="607"/>
      <c r="AX1" s="607"/>
      <c r="AY1" s="607"/>
      <c r="AZ1" s="607"/>
      <c r="BA1" s="607"/>
      <c r="BB1" s="607"/>
      <c r="BC1" s="607"/>
      <c r="BD1" s="607"/>
      <c r="BE1" s="607"/>
      <c r="BF1" s="607"/>
      <c r="BG1" s="607"/>
      <c r="BH1" s="607"/>
      <c r="BI1" s="607"/>
      <c r="BJ1" s="607"/>
      <c r="BK1" s="607"/>
      <c r="BL1" s="607"/>
      <c r="BM1" s="607"/>
      <c r="BN1" s="607"/>
      <c r="BO1" s="607"/>
      <c r="BP1" s="607"/>
      <c r="BQ1" s="607"/>
      <c r="BR1" s="607"/>
      <c r="BS1" s="607"/>
      <c r="BT1" s="607"/>
      <c r="BU1" s="607"/>
      <c r="BV1" s="607"/>
      <c r="BW1" s="607"/>
      <c r="BX1" s="607"/>
      <c r="BY1" s="607"/>
      <c r="BZ1" s="607"/>
      <c r="CA1" s="607"/>
      <c r="CB1" s="607"/>
      <c r="CC1" s="607"/>
      <c r="CD1" s="607"/>
      <c r="CE1" s="607"/>
      <c r="CF1" s="607"/>
      <c r="CG1" s="607"/>
      <c r="CH1" s="607"/>
      <c r="CI1" s="607"/>
      <c r="CJ1" s="607"/>
      <c r="CK1" s="607"/>
      <c r="CL1" s="607"/>
      <c r="CM1" s="607"/>
      <c r="CN1" s="607"/>
      <c r="CO1" s="607"/>
      <c r="CP1" s="607"/>
      <c r="CQ1" s="607"/>
      <c r="CR1" s="607"/>
      <c r="CS1" s="607"/>
      <c r="CT1" s="607"/>
      <c r="CU1" s="607"/>
      <c r="CV1" s="607"/>
      <c r="CW1" s="607"/>
      <c r="CX1" s="607"/>
      <c r="CY1" s="607"/>
      <c r="CZ1" s="607"/>
      <c r="DA1" s="607"/>
      <c r="DB1" s="607"/>
      <c r="DC1" s="607"/>
      <c r="DD1" s="607"/>
      <c r="DE1" s="607"/>
      <c r="DF1" s="607"/>
      <c r="DG1" s="607"/>
      <c r="DH1" s="607"/>
      <c r="DI1" s="607"/>
      <c r="DJ1" s="607"/>
      <c r="DK1" s="607"/>
      <c r="DL1" s="607"/>
      <c r="DM1" s="607"/>
      <c r="DN1" s="607"/>
      <c r="DO1" s="607"/>
      <c r="DP1" s="607"/>
      <c r="DQ1" s="608"/>
      <c r="DR1" s="264" t="s">
        <v>417</v>
      </c>
      <c r="DS1" s="265"/>
      <c r="DT1" s="609"/>
      <c r="DU1" s="610"/>
      <c r="DV1" s="610"/>
    </row>
    <row r="2" spans="1:126" ht="16.5" thickTop="1" x14ac:dyDescent="0.3">
      <c r="A2" s="611" t="s">
        <v>418</v>
      </c>
      <c r="B2" s="612" t="s">
        <v>419</v>
      </c>
      <c r="C2" s="612"/>
      <c r="D2" s="612"/>
      <c r="E2" s="613"/>
      <c r="F2" s="612" t="s">
        <v>420</v>
      </c>
      <c r="G2" s="612"/>
      <c r="H2" s="612"/>
      <c r="I2" s="613"/>
      <c r="J2" s="612" t="s">
        <v>421</v>
      </c>
      <c r="K2" s="612"/>
      <c r="L2" s="612"/>
      <c r="M2" s="613"/>
      <c r="N2" s="612" t="s">
        <v>137</v>
      </c>
      <c r="O2" s="612"/>
      <c r="P2" s="612"/>
      <c r="Q2" s="613"/>
      <c r="R2" s="614" t="s">
        <v>422</v>
      </c>
      <c r="S2" s="614"/>
      <c r="T2" s="614"/>
      <c r="U2" s="615"/>
      <c r="V2" s="614" t="s">
        <v>423</v>
      </c>
      <c r="W2" s="614"/>
      <c r="X2" s="614"/>
      <c r="Y2" s="615"/>
      <c r="Z2" s="616" t="s">
        <v>424</v>
      </c>
      <c r="AA2" s="617"/>
      <c r="AB2" s="617"/>
      <c r="AC2" s="618"/>
      <c r="AD2" s="616" t="s">
        <v>425</v>
      </c>
      <c r="AE2" s="617"/>
      <c r="AF2" s="617"/>
      <c r="AG2" s="618"/>
      <c r="AH2" s="619" t="s">
        <v>426</v>
      </c>
      <c r="AI2" s="620"/>
      <c r="AJ2" s="620"/>
      <c r="AK2" s="621"/>
      <c r="AL2" s="614" t="s">
        <v>138</v>
      </c>
      <c r="AM2" s="614"/>
      <c r="AN2" s="614"/>
      <c r="AO2" s="615"/>
      <c r="AP2" s="622" t="s">
        <v>419</v>
      </c>
      <c r="AQ2" s="623"/>
      <c r="AR2" s="623"/>
      <c r="AS2" s="623"/>
      <c r="AT2" s="623"/>
      <c r="AU2" s="623"/>
      <c r="AV2" s="623"/>
      <c r="AW2" s="624"/>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625" t="s">
        <v>422</v>
      </c>
      <c r="BW2" s="626"/>
      <c r="BX2" s="626"/>
      <c r="BY2" s="626"/>
      <c r="BZ2" s="626"/>
      <c r="CA2" s="626"/>
      <c r="CB2" s="626"/>
      <c r="CC2" s="626"/>
      <c r="CD2" s="625" t="s">
        <v>423</v>
      </c>
      <c r="CE2" s="626"/>
      <c r="CF2" s="626"/>
      <c r="CG2" s="626"/>
      <c r="CH2" s="626"/>
      <c r="CI2" s="626"/>
      <c r="CJ2" s="626"/>
      <c r="CK2" s="626"/>
      <c r="CL2" s="266" t="s">
        <v>427</v>
      </c>
      <c r="CM2" s="267"/>
      <c r="CN2" s="267"/>
      <c r="CO2" s="267"/>
      <c r="CP2" s="267"/>
      <c r="CQ2" s="267"/>
      <c r="CR2" s="267"/>
      <c r="CS2" s="267"/>
      <c r="CT2" s="627" t="s">
        <v>425</v>
      </c>
      <c r="CU2" s="628"/>
      <c r="CV2" s="628"/>
      <c r="CW2" s="628"/>
      <c r="CX2" s="628"/>
      <c r="CY2" s="628"/>
      <c r="CZ2" s="628"/>
      <c r="DA2" s="629"/>
      <c r="DB2" s="625" t="s">
        <v>428</v>
      </c>
      <c r="DC2" s="626"/>
      <c r="DD2" s="626"/>
      <c r="DE2" s="626"/>
      <c r="DF2" s="626"/>
      <c r="DG2" s="626"/>
      <c r="DH2" s="626"/>
      <c r="DI2" s="630"/>
      <c r="DJ2" s="625" t="s">
        <v>138</v>
      </c>
      <c r="DK2" s="626"/>
      <c r="DL2" s="626"/>
      <c r="DM2" s="626"/>
      <c r="DN2" s="626"/>
      <c r="DO2" s="626"/>
      <c r="DP2" s="626"/>
      <c r="DQ2" s="626"/>
      <c r="DR2" s="268" t="s">
        <v>429</v>
      </c>
      <c r="DT2" s="269" t="s">
        <v>430</v>
      </c>
    </row>
    <row r="3" spans="1:126" ht="48" thickBot="1" x14ac:dyDescent="0.35">
      <c r="A3" s="611"/>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G23" sqref="G23"/>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6" t="s">
        <v>304</v>
      </c>
      <c r="B1" s="476"/>
      <c r="C1" s="476"/>
      <c r="D1" s="476"/>
      <c r="E1" s="476"/>
      <c r="F1" s="476"/>
    </row>
    <row r="2" spans="1:17" ht="24" customHeight="1" x14ac:dyDescent="0.2">
      <c r="A2" s="476" t="str">
        <f>'Subcases Monthly'!A2</f>
        <v>County Fiscal Year 2024-2025</v>
      </c>
      <c r="B2" s="476"/>
      <c r="C2" s="476"/>
      <c r="D2" s="476"/>
    </row>
    <row r="3" spans="1:17" ht="24" customHeight="1" x14ac:dyDescent="0.2">
      <c r="N3"/>
      <c r="O3"/>
    </row>
    <row r="4" spans="1:17" ht="21" customHeight="1" x14ac:dyDescent="0.2">
      <c r="A4" s="6"/>
      <c r="C4" s="21" t="s">
        <v>2</v>
      </c>
      <c r="D4" s="499" t="str">
        <f>IF('Subcases Monthly'!D4="","",'Subcases Monthly'!D4)</f>
        <v>Brevard</v>
      </c>
      <c r="E4" s="499"/>
      <c r="F4" s="6"/>
      <c r="G4" s="21" t="s">
        <v>226</v>
      </c>
      <c r="H4" s="499" t="str">
        <f>IF('Subcases Monthly'!H4="","",'Subcases Monthly'!H4)</f>
        <v>November</v>
      </c>
      <c r="I4" s="499"/>
      <c r="K4" s="21" t="s">
        <v>3</v>
      </c>
      <c r="L4" s="91">
        <f>IF('Subcases Monthly'!L4="","",'Subcases Monthly'!L4)</f>
        <v>1</v>
      </c>
      <c r="N4"/>
      <c r="O4" s="484" t="str">
        <f>'Subcases Monthly'!Q4</f>
        <v>CCOC Form Version 1
Created: 11/11/2024</v>
      </c>
      <c r="P4" s="484"/>
      <c r="Q4" s="484"/>
    </row>
    <row r="5" spans="1:17" ht="21" customHeight="1" thickBot="1" x14ac:dyDescent="0.35">
      <c r="A5" s="6"/>
      <c r="C5" s="21" t="s">
        <v>73</v>
      </c>
      <c r="D5" s="500" t="str">
        <f>IF('Subcases Monthly'!D5="","",'Subcases Monthly'!D5)</f>
        <v xml:space="preserve">Carol Vail </v>
      </c>
      <c r="E5" s="500"/>
      <c r="F5" s="6"/>
      <c r="N5" s="7"/>
      <c r="O5" s="496"/>
      <c r="P5" s="496"/>
      <c r="Q5" s="496"/>
    </row>
    <row r="6" spans="1:17" ht="26.25" customHeight="1" thickBot="1" x14ac:dyDescent="0.25">
      <c r="A6" s="6"/>
      <c r="C6" s="21" t="s">
        <v>84</v>
      </c>
      <c r="D6" s="499" t="str">
        <f>IF('Subcases Monthly'!D6="","",'Subcases Monthly'!D6)</f>
        <v>carol.vail@brevardclerk.us</v>
      </c>
      <c r="E6" s="499"/>
      <c r="F6" s="6"/>
      <c r="K6"/>
      <c r="L6"/>
      <c r="M6"/>
      <c r="N6"/>
      <c r="O6" s="504" t="str">
        <f>"Total Number of Financial Receipts
for the CFY "&amp;RIGHT(A2,9)&amp;":"</f>
        <v>Total Number of Financial Receipts
for the CFY 2024-2025:</v>
      </c>
      <c r="P6" s="505"/>
      <c r="Q6" s="506"/>
    </row>
    <row r="7" spans="1:17" ht="27" customHeight="1" thickBot="1" x14ac:dyDescent="0.25">
      <c r="A7" s="6"/>
      <c r="J7" s="507"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7"/>
      <c r="L7" s="507"/>
      <c r="M7" s="507"/>
      <c r="N7" s="508"/>
      <c r="O7" s="501">
        <f>IF('Subcases Monthly'!$D$4="","",VLOOKUP('Subcases Monthly'!$D$4,'Timeliness Performance'!$A$4:$DR$70,122,FALSE))</f>
        <v>0</v>
      </c>
      <c r="P7" s="502"/>
      <c r="Q7" s="503"/>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5" t="s">
        <v>132</v>
      </c>
      <c r="C10" s="474"/>
      <c r="D10" s="474"/>
      <c r="E10" s="150">
        <f>'Subcases Monthly'!E15</f>
        <v>525</v>
      </c>
      <c r="F10" s="151">
        <f>'Subcases Monthly'!F15</f>
        <v>549</v>
      </c>
      <c r="G10" s="151">
        <f>'Subcases Monthly'!G15</f>
        <v>0</v>
      </c>
      <c r="H10" s="151">
        <f>'Subcases Monthly'!H15</f>
        <v>0</v>
      </c>
      <c r="I10" s="151">
        <f>'Subcases Monthly'!I15</f>
        <v>0</v>
      </c>
      <c r="J10" s="151">
        <f>'Subcases Monthly'!J15</f>
        <v>0</v>
      </c>
      <c r="K10" s="151">
        <f>'Subcases Monthly'!K15</f>
        <v>0</v>
      </c>
      <c r="L10" s="151">
        <f>'Subcases Monthly'!L15</f>
        <v>0</v>
      </c>
      <c r="M10" s="151">
        <f>'Subcases Monthly'!M15</f>
        <v>0</v>
      </c>
      <c r="N10" s="151">
        <f>'Subcases Monthly'!N15</f>
        <v>0</v>
      </c>
      <c r="O10" s="151">
        <f>'Subcases Monthly'!O15</f>
        <v>0</v>
      </c>
      <c r="P10" s="152">
        <f>'Subcases Monthly'!P15</f>
        <v>0</v>
      </c>
      <c r="Q10" s="153">
        <f>SUM(E10:P10)</f>
        <v>1074</v>
      </c>
    </row>
    <row r="11" spans="1:17" ht="19.5" customHeight="1" x14ac:dyDescent="0.2">
      <c r="B11" s="494" t="s">
        <v>133</v>
      </c>
      <c r="C11" s="461"/>
      <c r="D11" s="461"/>
      <c r="E11" s="154">
        <f>'Subcases Monthly'!E23</f>
        <v>485</v>
      </c>
      <c r="F11" s="155">
        <f>'Subcases Monthly'!F23</f>
        <v>566</v>
      </c>
      <c r="G11" s="155">
        <f>'Subcases Monthly'!G23</f>
        <v>0</v>
      </c>
      <c r="H11" s="155">
        <f>'Subcases Monthly'!H23</f>
        <v>0</v>
      </c>
      <c r="I11" s="155">
        <f>'Subcases Monthly'!I23</f>
        <v>0</v>
      </c>
      <c r="J11" s="155">
        <f>'Subcases Monthly'!J23</f>
        <v>0</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1051</v>
      </c>
    </row>
    <row r="12" spans="1:17" ht="19.5" customHeight="1" x14ac:dyDescent="0.2">
      <c r="B12" s="494" t="s">
        <v>140</v>
      </c>
      <c r="C12" s="461"/>
      <c r="D12" s="461"/>
      <c r="E12" s="154">
        <f>'Subcases Monthly'!E30</f>
        <v>97</v>
      </c>
      <c r="F12" s="155">
        <f>'Subcases Monthly'!F30</f>
        <v>95</v>
      </c>
      <c r="G12" s="155">
        <f>'Subcases Monthly'!G30</f>
        <v>0</v>
      </c>
      <c r="H12" s="155">
        <f>'Subcases Monthly'!H30</f>
        <v>0</v>
      </c>
      <c r="I12" s="155">
        <f>'Subcases Monthly'!I30</f>
        <v>0</v>
      </c>
      <c r="J12" s="155">
        <f>'Subcases Monthly'!J30</f>
        <v>0</v>
      </c>
      <c r="K12" s="155">
        <f>'Subcases Monthly'!K30</f>
        <v>0</v>
      </c>
      <c r="L12" s="155">
        <f>'Subcases Monthly'!L30</f>
        <v>0</v>
      </c>
      <c r="M12" s="155">
        <f>'Subcases Monthly'!M30</f>
        <v>0</v>
      </c>
      <c r="N12" s="155">
        <f>'Subcases Monthly'!N30</f>
        <v>0</v>
      </c>
      <c r="O12" s="155">
        <f>'Subcases Monthly'!O30</f>
        <v>0</v>
      </c>
      <c r="P12" s="156">
        <f>'Subcases Monthly'!P30</f>
        <v>0</v>
      </c>
      <c r="Q12" s="157">
        <f t="shared" si="1"/>
        <v>192</v>
      </c>
    </row>
    <row r="13" spans="1:17" ht="19.5" customHeight="1" x14ac:dyDescent="0.2">
      <c r="B13" s="494" t="s">
        <v>137</v>
      </c>
      <c r="C13" s="461"/>
      <c r="D13" s="461"/>
      <c r="E13" s="154">
        <f>'Subcases Monthly'!E36</f>
        <v>711</v>
      </c>
      <c r="F13" s="155">
        <f>'Subcases Monthly'!F36</f>
        <v>709</v>
      </c>
      <c r="G13" s="155">
        <f>'Subcases Monthly'!G36</f>
        <v>0</v>
      </c>
      <c r="H13" s="155">
        <f>'Subcases Monthly'!H36</f>
        <v>0</v>
      </c>
      <c r="I13" s="155">
        <f>'Subcases Monthly'!I36</f>
        <v>0</v>
      </c>
      <c r="J13" s="155">
        <f>'Subcases Monthly'!J36</f>
        <v>0</v>
      </c>
      <c r="K13" s="155">
        <f>'Subcases Monthly'!K36</f>
        <v>0</v>
      </c>
      <c r="L13" s="155">
        <f>'Subcases Monthly'!L36</f>
        <v>0</v>
      </c>
      <c r="M13" s="155">
        <f>'Subcases Monthly'!M36</f>
        <v>0</v>
      </c>
      <c r="N13" s="155">
        <f>'Subcases Monthly'!N36</f>
        <v>0</v>
      </c>
      <c r="O13" s="155">
        <f>'Subcases Monthly'!O36</f>
        <v>0</v>
      </c>
      <c r="P13" s="156">
        <f>'Subcases Monthly'!P36</f>
        <v>0</v>
      </c>
      <c r="Q13" s="157">
        <f t="shared" si="1"/>
        <v>1420</v>
      </c>
    </row>
    <row r="14" spans="1:17" ht="19.5" customHeight="1" x14ac:dyDescent="0.2">
      <c r="B14" s="494" t="s">
        <v>134</v>
      </c>
      <c r="C14" s="461"/>
      <c r="D14" s="461"/>
      <c r="E14" s="154">
        <f>'Subcases Monthly'!E60</f>
        <v>307</v>
      </c>
      <c r="F14" s="155">
        <f>'Subcases Monthly'!F60</f>
        <v>242</v>
      </c>
      <c r="G14" s="155">
        <f>'Subcases Monthly'!G60</f>
        <v>0</v>
      </c>
      <c r="H14" s="155">
        <f>'Subcases Monthly'!H60</f>
        <v>0</v>
      </c>
      <c r="I14" s="155">
        <f>'Subcases Monthly'!I60</f>
        <v>0</v>
      </c>
      <c r="J14" s="155">
        <f>'Subcases Monthly'!J60</f>
        <v>0</v>
      </c>
      <c r="K14" s="155">
        <f>'Subcases Monthly'!K60</f>
        <v>0</v>
      </c>
      <c r="L14" s="155">
        <f>'Subcases Monthly'!L60</f>
        <v>0</v>
      </c>
      <c r="M14" s="155">
        <f>'Subcases Monthly'!M60</f>
        <v>0</v>
      </c>
      <c r="N14" s="155">
        <f>'Subcases Monthly'!N60</f>
        <v>0</v>
      </c>
      <c r="O14" s="155">
        <f>'Subcases Monthly'!O60</f>
        <v>0</v>
      </c>
      <c r="P14" s="156">
        <f>'Subcases Monthly'!P60</f>
        <v>0</v>
      </c>
      <c r="Q14" s="157">
        <f t="shared" si="1"/>
        <v>549</v>
      </c>
    </row>
    <row r="15" spans="1:17" ht="19.5" customHeight="1" x14ac:dyDescent="0.2">
      <c r="B15" s="494" t="s">
        <v>135</v>
      </c>
      <c r="C15" s="461"/>
      <c r="D15" s="461"/>
      <c r="E15" s="154">
        <f>'Subcases Monthly'!E74</f>
        <v>1183</v>
      </c>
      <c r="F15" s="155">
        <f>'Subcases Monthly'!F74</f>
        <v>1188</v>
      </c>
      <c r="G15" s="155">
        <f>'Subcases Monthly'!G74</f>
        <v>0</v>
      </c>
      <c r="H15" s="155">
        <f>'Subcases Monthly'!H74</f>
        <v>0</v>
      </c>
      <c r="I15" s="155">
        <f>'Subcases Monthly'!I74</f>
        <v>0</v>
      </c>
      <c r="J15" s="155">
        <f>'Subcases Monthly'!J74</f>
        <v>0</v>
      </c>
      <c r="K15" s="155">
        <f>'Subcases Monthly'!K74</f>
        <v>0</v>
      </c>
      <c r="L15" s="155">
        <f>'Subcases Monthly'!L74</f>
        <v>0</v>
      </c>
      <c r="M15" s="155">
        <f>'Subcases Monthly'!M74</f>
        <v>0</v>
      </c>
      <c r="N15" s="155">
        <f>'Subcases Monthly'!N74</f>
        <v>0</v>
      </c>
      <c r="O15" s="155">
        <f>'Subcases Monthly'!O74</f>
        <v>0</v>
      </c>
      <c r="P15" s="156">
        <f>'Subcases Monthly'!P74</f>
        <v>0</v>
      </c>
      <c r="Q15" s="157">
        <f t="shared" si="1"/>
        <v>2371</v>
      </c>
    </row>
    <row r="16" spans="1:17" ht="19.5" customHeight="1" x14ac:dyDescent="0.2">
      <c r="B16" s="494" t="s">
        <v>136</v>
      </c>
      <c r="C16" s="461"/>
      <c r="D16" s="461"/>
      <c r="E16" s="154">
        <f>'Subcases Monthly'!E94</f>
        <v>605</v>
      </c>
      <c r="F16" s="155">
        <f>'Subcases Monthly'!F94</f>
        <v>591</v>
      </c>
      <c r="G16" s="155">
        <f>'Subcases Monthly'!G94</f>
        <v>0</v>
      </c>
      <c r="H16" s="155">
        <f>'Subcases Monthly'!H94</f>
        <v>0</v>
      </c>
      <c r="I16" s="155">
        <f>'Subcases Monthly'!I94</f>
        <v>0</v>
      </c>
      <c r="J16" s="155">
        <f>'Subcases Monthly'!J94</f>
        <v>0</v>
      </c>
      <c r="K16" s="155">
        <f>'Subcases Monthly'!K94</f>
        <v>0</v>
      </c>
      <c r="L16" s="155">
        <f>'Subcases Monthly'!L94</f>
        <v>0</v>
      </c>
      <c r="M16" s="155">
        <f>'Subcases Monthly'!M94</f>
        <v>0</v>
      </c>
      <c r="N16" s="155">
        <f>'Subcases Monthly'!N94</f>
        <v>0</v>
      </c>
      <c r="O16" s="155">
        <f>'Subcases Monthly'!O94</f>
        <v>0</v>
      </c>
      <c r="P16" s="156">
        <f>'Subcases Monthly'!P94</f>
        <v>0</v>
      </c>
      <c r="Q16" s="157">
        <f t="shared" si="1"/>
        <v>1196</v>
      </c>
    </row>
    <row r="17" spans="1:17" ht="19.5" customHeight="1" x14ac:dyDescent="0.2">
      <c r="B17" s="494" t="s">
        <v>229</v>
      </c>
      <c r="C17" s="461"/>
      <c r="D17" s="461"/>
      <c r="E17" s="154">
        <f>'Subcases Monthly'!E108</f>
        <v>458</v>
      </c>
      <c r="F17" s="155">
        <f>'Subcases Monthly'!F108</f>
        <v>410</v>
      </c>
      <c r="G17" s="155">
        <f>'Subcases Monthly'!G108</f>
        <v>0</v>
      </c>
      <c r="H17" s="155">
        <f>'Subcases Monthly'!H108</f>
        <v>0</v>
      </c>
      <c r="I17" s="155">
        <f>'Subcases Monthly'!I108</f>
        <v>0</v>
      </c>
      <c r="J17" s="155">
        <f>'Subcases Monthly'!J108</f>
        <v>0</v>
      </c>
      <c r="K17" s="155">
        <f>'Subcases Monthly'!K108</f>
        <v>0</v>
      </c>
      <c r="L17" s="155">
        <f>'Subcases Monthly'!L108</f>
        <v>0</v>
      </c>
      <c r="M17" s="155">
        <f>'Subcases Monthly'!M108</f>
        <v>0</v>
      </c>
      <c r="N17" s="155">
        <f>'Subcases Monthly'!N108</f>
        <v>0</v>
      </c>
      <c r="O17" s="155">
        <f>'Subcases Monthly'!O108</f>
        <v>0</v>
      </c>
      <c r="P17" s="156">
        <f>'Subcases Monthly'!P108</f>
        <v>0</v>
      </c>
      <c r="Q17" s="157">
        <f t="shared" si="1"/>
        <v>868</v>
      </c>
    </row>
    <row r="18" spans="1:17" ht="19.5" customHeight="1" x14ac:dyDescent="0.2">
      <c r="B18" s="494" t="s">
        <v>139</v>
      </c>
      <c r="C18" s="461"/>
      <c r="D18" s="461"/>
      <c r="E18" s="154">
        <f>'Subcases Monthly'!E120</f>
        <v>18</v>
      </c>
      <c r="F18" s="155">
        <f>'Subcases Monthly'!F120</f>
        <v>20</v>
      </c>
      <c r="G18" s="155">
        <f>'Subcases Monthly'!G120</f>
        <v>0</v>
      </c>
      <c r="H18" s="155">
        <f>'Subcases Monthly'!H120</f>
        <v>0</v>
      </c>
      <c r="I18" s="155">
        <f>'Subcases Monthly'!I120</f>
        <v>0</v>
      </c>
      <c r="J18" s="155">
        <f>'Subcases Monthly'!J120</f>
        <v>0</v>
      </c>
      <c r="K18" s="155">
        <f>'Subcases Monthly'!K120</f>
        <v>0</v>
      </c>
      <c r="L18" s="155">
        <f>'Subcases Monthly'!L120</f>
        <v>0</v>
      </c>
      <c r="M18" s="155">
        <f>'Subcases Monthly'!M120</f>
        <v>0</v>
      </c>
      <c r="N18" s="155">
        <f>'Subcases Monthly'!N120</f>
        <v>0</v>
      </c>
      <c r="O18" s="155">
        <f>'Subcases Monthly'!O120</f>
        <v>0</v>
      </c>
      <c r="P18" s="156">
        <f>'Subcases Monthly'!P120</f>
        <v>0</v>
      </c>
      <c r="Q18" s="157">
        <f t="shared" si="1"/>
        <v>38</v>
      </c>
    </row>
    <row r="19" spans="1:17" ht="19.5" customHeight="1" thickBot="1" x14ac:dyDescent="0.25">
      <c r="B19" s="497" t="s">
        <v>138</v>
      </c>
      <c r="C19" s="469"/>
      <c r="D19" s="469"/>
      <c r="E19" s="158">
        <f>'Subcases Monthly'!E124</f>
        <v>3260</v>
      </c>
      <c r="F19" s="159">
        <f>'Subcases Monthly'!F124</f>
        <v>3692</v>
      </c>
      <c r="G19" s="159">
        <f>'Subcases Monthly'!G124</f>
        <v>0</v>
      </c>
      <c r="H19" s="159">
        <f>'Subcases Monthly'!H124</f>
        <v>0</v>
      </c>
      <c r="I19" s="159">
        <f>'Subcases Monthly'!I124</f>
        <v>0</v>
      </c>
      <c r="J19" s="159">
        <f>'Subcases Monthly'!J124</f>
        <v>0</v>
      </c>
      <c r="K19" s="159">
        <f>'Subcases Monthly'!K124</f>
        <v>0</v>
      </c>
      <c r="L19" s="159">
        <f>'Subcases Monthly'!L124</f>
        <v>0</v>
      </c>
      <c r="M19" s="159">
        <f>'Subcases Monthly'!M124</f>
        <v>0</v>
      </c>
      <c r="N19" s="159">
        <f>'Subcases Monthly'!N124</f>
        <v>0</v>
      </c>
      <c r="O19" s="159">
        <f>'Subcases Monthly'!O124</f>
        <v>0</v>
      </c>
      <c r="P19" s="160">
        <f>'Subcases Monthly'!P124</f>
        <v>0</v>
      </c>
      <c r="Q19" s="161">
        <f t="shared" si="1"/>
        <v>6952</v>
      </c>
    </row>
    <row r="20" spans="1:17" s="13" customFormat="1" ht="19.5" customHeight="1" thickTop="1" thickBot="1" x14ac:dyDescent="0.25">
      <c r="B20" s="498" t="s">
        <v>380</v>
      </c>
      <c r="C20" s="471"/>
      <c r="D20" s="472"/>
      <c r="E20" s="211">
        <f t="shared" ref="E20:P20" si="2">SUM(E10:E19)</f>
        <v>7649</v>
      </c>
      <c r="F20" s="212">
        <f t="shared" si="2"/>
        <v>8062</v>
      </c>
      <c r="G20" s="212">
        <f t="shared" si="2"/>
        <v>0</v>
      </c>
      <c r="H20" s="212">
        <f t="shared" si="2"/>
        <v>0</v>
      </c>
      <c r="I20" s="212">
        <f t="shared" si="2"/>
        <v>0</v>
      </c>
      <c r="J20" s="212">
        <f t="shared" si="2"/>
        <v>0</v>
      </c>
      <c r="K20" s="212">
        <f t="shared" si="2"/>
        <v>0</v>
      </c>
      <c r="L20" s="212">
        <f t="shared" si="2"/>
        <v>0</v>
      </c>
      <c r="M20" s="212">
        <f t="shared" si="2"/>
        <v>0</v>
      </c>
      <c r="N20" s="212">
        <f t="shared" si="2"/>
        <v>0</v>
      </c>
      <c r="O20" s="212">
        <f t="shared" si="2"/>
        <v>0</v>
      </c>
      <c r="P20" s="261">
        <f t="shared" si="2"/>
        <v>0</v>
      </c>
      <c r="Q20" s="262">
        <f t="shared" ref="Q20" si="3">SUM(E20:P20)</f>
        <v>15711</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5" t="s">
        <v>132</v>
      </c>
      <c r="C23" s="474"/>
      <c r="D23" s="474"/>
      <c r="E23" s="252">
        <v>961</v>
      </c>
      <c r="F23" s="173">
        <v>761</v>
      </c>
      <c r="G23" s="173">
        <f>IF('Subcases Monthly'!$D$4="","",VLOOKUP('Subcases Monthly'!$D$4,'ReOpens by Court Division'!$A$4:$EJ$70,4,FALSE))</f>
        <v>0</v>
      </c>
      <c r="H23" s="173">
        <f>IF('Subcases Monthly'!$D$4="","",VLOOKUP('Subcases Monthly'!$D$4,'ReOpens by Court Division'!$A$4:$EJ$70,5,FALSE))</f>
        <v>0</v>
      </c>
      <c r="I23" s="173">
        <f>IF('Subcases Monthly'!$D$4="","",VLOOKUP('Subcases Monthly'!$D$4,'ReOpens by Court Division'!$A$4:$EJ$70,6,FALSE))</f>
        <v>0</v>
      </c>
      <c r="J23" s="173">
        <f>IF('Subcases Monthly'!$D$4="","",VLOOKUP('Subcases Monthly'!$D$4,'ReOpens by Court Division'!$A$4:$EJ$70,7,FALSE))</f>
        <v>0</v>
      </c>
      <c r="K23" s="173">
        <f>IF('Subcases Monthly'!$D$4="","",VLOOKUP('Subcases Monthly'!$D$4,'ReOpens by Court Division'!$A$4:$EJ$70,8,FALSE))</f>
        <v>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1722</v>
      </c>
    </row>
    <row r="24" spans="1:17" ht="19.5" customHeight="1" x14ac:dyDescent="0.2">
      <c r="B24" s="494" t="s">
        <v>133</v>
      </c>
      <c r="C24" s="461"/>
      <c r="D24" s="461"/>
      <c r="E24" s="141">
        <v>90</v>
      </c>
      <c r="F24" s="142">
        <v>83</v>
      </c>
      <c r="G24" s="142">
        <f>IF('Subcases Monthly'!$D$4="","",VLOOKUP('Subcases Monthly'!$D$4,'ReOpens by Court Division'!$A$4:$EJ$70,18,FALSE))</f>
        <v>0</v>
      </c>
      <c r="H24" s="142">
        <f>IF('Subcases Monthly'!$D$4="","",VLOOKUP('Subcases Monthly'!$D$4,'ReOpens by Court Division'!$A$4:$EJ$70,19,FALSE))</f>
        <v>0</v>
      </c>
      <c r="I24" s="142">
        <f>IF('Subcases Monthly'!$D$4="","",VLOOKUP('Subcases Monthly'!$D$4,'ReOpens by Court Division'!$A$4:$EJ$70,20,FALSE))</f>
        <v>0</v>
      </c>
      <c r="J24" s="142">
        <f>IF('Subcases Monthly'!$D$4="","",VLOOKUP('Subcases Monthly'!$D$4,'ReOpens by Court Division'!$A$4:$EJ$70,21,FALSE))</f>
        <v>0</v>
      </c>
      <c r="K24" s="142">
        <f>IF('Subcases Monthly'!$D$4="","",VLOOKUP('Subcases Monthly'!$D$4,'ReOpens by Court Division'!$A$4:$EJ$70,22,FALSE))</f>
        <v>0</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173</v>
      </c>
    </row>
    <row r="25" spans="1:17" ht="19.5" customHeight="1" x14ac:dyDescent="0.2">
      <c r="B25" s="494" t="s">
        <v>140</v>
      </c>
      <c r="C25" s="461"/>
      <c r="D25" s="461"/>
      <c r="E25" s="255">
        <v>118</v>
      </c>
      <c r="F25" s="256">
        <v>90</v>
      </c>
      <c r="G25" s="256">
        <f>IF('Subcases Monthly'!$D$4="","",VLOOKUP('Subcases Monthly'!$D$4,'ReOpens by Court Division'!$A$4:$EJ$70,32,FALSE))</f>
        <v>0</v>
      </c>
      <c r="H25" s="256">
        <f>IF('Subcases Monthly'!$D$4="","",VLOOKUP('Subcases Monthly'!$D$4,'ReOpens by Court Division'!$A$4:$EJ$70,33,FALSE))</f>
        <v>0</v>
      </c>
      <c r="I25" s="256">
        <f>IF('Subcases Monthly'!$D$4="","",VLOOKUP('Subcases Monthly'!$D$4,'ReOpens by Court Division'!$A$4:$EJ$70,34,FALSE))</f>
        <v>0</v>
      </c>
      <c r="J25" s="256">
        <f>IF('Subcases Monthly'!$D$4="","",VLOOKUP('Subcases Monthly'!$D$4,'ReOpens by Court Division'!$A$4:$EJ$70,35,FALSE))</f>
        <v>0</v>
      </c>
      <c r="K25" s="256">
        <f>IF('Subcases Monthly'!$D$4="","",VLOOKUP('Subcases Monthly'!$D$4,'ReOpens by Court Division'!$A$4:$EJ$70,36,FALSE))</f>
        <v>0</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208</v>
      </c>
    </row>
    <row r="26" spans="1:17" ht="19.5" customHeight="1" x14ac:dyDescent="0.2">
      <c r="B26" s="494" t="s">
        <v>137</v>
      </c>
      <c r="C26" s="461"/>
      <c r="D26" s="461"/>
      <c r="E26" s="141">
        <v>194</v>
      </c>
      <c r="F26" s="142">
        <v>133</v>
      </c>
      <c r="G26" s="142">
        <f>IF('Subcases Monthly'!$D$4="","",VLOOKUP('Subcases Monthly'!$D$4,'ReOpens by Court Division'!$A$4:$EJ$70,46,FALSE))</f>
        <v>0</v>
      </c>
      <c r="H26" s="142">
        <f>IF('Subcases Monthly'!$D$4="","",VLOOKUP('Subcases Monthly'!$D$4,'ReOpens by Court Division'!$A$4:$EJ$70,47,FALSE))</f>
        <v>0</v>
      </c>
      <c r="I26" s="142">
        <f>IF('Subcases Monthly'!$D$4="","",VLOOKUP('Subcases Monthly'!$D$4,'ReOpens by Court Division'!$A$4:$EJ$70,48,FALSE))</f>
        <v>0</v>
      </c>
      <c r="J26" s="142">
        <f>IF('Subcases Monthly'!$D$4="","",VLOOKUP('Subcases Monthly'!$D$4,'ReOpens by Court Division'!$A$4:$EJ$70,49,FALSE))</f>
        <v>0</v>
      </c>
      <c r="K26" s="142">
        <f>IF('Subcases Monthly'!$D$4="","",VLOOKUP('Subcases Monthly'!$D$4,'ReOpens by Court Division'!$A$4:$EJ$70,50,FALSE))</f>
        <v>0</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327</v>
      </c>
    </row>
    <row r="27" spans="1:17" ht="19.5" customHeight="1" x14ac:dyDescent="0.2">
      <c r="B27" s="494" t="s">
        <v>134</v>
      </c>
      <c r="C27" s="461"/>
      <c r="D27" s="461"/>
      <c r="E27" s="255">
        <v>144</v>
      </c>
      <c r="F27" s="256">
        <v>93</v>
      </c>
      <c r="G27" s="256">
        <f>IF('Subcases Monthly'!$D$4="","",VLOOKUP('Subcases Monthly'!$D$4,'ReOpens by Court Division'!$A$4:$EJ$70,60,FALSE))</f>
        <v>0</v>
      </c>
      <c r="H27" s="256">
        <f>IF('Subcases Monthly'!$D$4="","",VLOOKUP('Subcases Monthly'!$D$4,'ReOpens by Court Division'!$A$4:$EJ$70,61,FALSE))</f>
        <v>0</v>
      </c>
      <c r="I27" s="256">
        <f>IF('Subcases Monthly'!$D$4="","",VLOOKUP('Subcases Monthly'!$D$4,'ReOpens by Court Division'!$A$4:$EJ$70,62,FALSE))</f>
        <v>0</v>
      </c>
      <c r="J27" s="256">
        <f>IF('Subcases Monthly'!$D$4="","",VLOOKUP('Subcases Monthly'!$D$4,'ReOpens by Court Division'!$A$4:$EJ$70,77,FALSE))</f>
        <v>0</v>
      </c>
      <c r="K27" s="256">
        <f>IF('Subcases Monthly'!$D$4="","",VLOOKUP('Subcases Monthly'!$D$4,'ReOpens by Court Division'!$A$4:$EJ$70,64,FALSE))</f>
        <v>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237</v>
      </c>
    </row>
    <row r="28" spans="1:17" ht="19.5" customHeight="1" x14ac:dyDescent="0.2">
      <c r="B28" s="494" t="s">
        <v>135</v>
      </c>
      <c r="C28" s="461"/>
      <c r="D28" s="461"/>
      <c r="E28" s="141">
        <v>466</v>
      </c>
      <c r="F28" s="142">
        <v>452</v>
      </c>
      <c r="G28" s="142">
        <f>IF('Subcases Monthly'!$D$4="","",VLOOKUP('Subcases Monthly'!$D$4,'ReOpens by Court Division'!$A$4:$EJ$70,74,FALSE))</f>
        <v>0</v>
      </c>
      <c r="H28" s="142">
        <f>IF('Subcases Monthly'!$D$4="","",VLOOKUP('Subcases Monthly'!$D$4,'ReOpens by Court Division'!$A$4:$EJ$70,75,FALSE))</f>
        <v>0</v>
      </c>
      <c r="I28" s="142">
        <f>IF('Subcases Monthly'!$D$4="","",VLOOKUP('Subcases Monthly'!$D$4,'ReOpens by Court Division'!$A$4:$EJ$70,76,FALSE))</f>
        <v>0</v>
      </c>
      <c r="J28" s="142">
        <f>IF('Subcases Monthly'!$D$4="","",VLOOKUP('Subcases Monthly'!$D$4,'ReOpens by Court Division'!$A$4:$EJ$70,91,FALSE))</f>
        <v>0</v>
      </c>
      <c r="K28" s="142">
        <f>IF('Subcases Monthly'!$D$4="","",VLOOKUP('Subcases Monthly'!$D$4,'ReOpens by Court Division'!$A$4:$EJ$70,78,FALSE))</f>
        <v>0</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918</v>
      </c>
    </row>
    <row r="29" spans="1:17" ht="19.5" customHeight="1" x14ac:dyDescent="0.2">
      <c r="B29" s="494" t="s">
        <v>136</v>
      </c>
      <c r="C29" s="461"/>
      <c r="D29" s="461"/>
      <c r="E29" s="255">
        <v>243</v>
      </c>
      <c r="F29" s="256">
        <v>221</v>
      </c>
      <c r="G29" s="256">
        <f>IF('Subcases Monthly'!$D$4="","",VLOOKUP('Subcases Monthly'!$D$4,'ReOpens by Court Division'!$A$4:$EJ$70,88,FALSE))</f>
        <v>0</v>
      </c>
      <c r="H29" s="256">
        <f>IF('Subcases Monthly'!$D$4="","",VLOOKUP('Subcases Monthly'!$D$4,'ReOpens by Court Division'!$A$4:$EJ$70,89,FALSE))</f>
        <v>0</v>
      </c>
      <c r="I29" s="256">
        <f>IF('Subcases Monthly'!$D$4="","",VLOOKUP('Subcases Monthly'!$D$4,'ReOpens by Court Division'!$A$4:$EJ$70,90,FALSE))</f>
        <v>0</v>
      </c>
      <c r="J29" s="256">
        <f>IF('Subcases Monthly'!$D$4="","",VLOOKUP('Subcases Monthly'!$D$4,'ReOpens by Court Division'!$A$4:$EJ$70,105,FALSE))</f>
        <v>0</v>
      </c>
      <c r="K29" s="256">
        <f>IF('Subcases Monthly'!$D$4="","",VLOOKUP('Subcases Monthly'!$D$4,'ReOpens by Court Division'!$A$4:$EJ$70,92,FALSE))</f>
        <v>0</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464</v>
      </c>
    </row>
    <row r="30" spans="1:17" ht="19.5" customHeight="1" x14ac:dyDescent="0.2">
      <c r="B30" s="494" t="s">
        <v>229</v>
      </c>
      <c r="C30" s="461"/>
      <c r="D30" s="461"/>
      <c r="E30" s="141">
        <v>641</v>
      </c>
      <c r="F30" s="142">
        <v>885</v>
      </c>
      <c r="G30" s="142">
        <f>IF('Subcases Monthly'!$D$4="","",VLOOKUP('Subcases Monthly'!$D$4,'ReOpens by Court Division'!$A$4:$EJ$70,102,FALSE))</f>
        <v>0</v>
      </c>
      <c r="H30" s="142">
        <f>IF('Subcases Monthly'!$D$4="","",VLOOKUP('Subcases Monthly'!$D$4,'ReOpens by Court Division'!$A$4:$EJ$70,103,FALSE))</f>
        <v>0</v>
      </c>
      <c r="I30" s="142">
        <f>IF('Subcases Monthly'!$D$4="","",VLOOKUP('Subcases Monthly'!$D$4,'ReOpens by Court Division'!$A$4:$EJ$70,104,FALSE))</f>
        <v>0</v>
      </c>
      <c r="J30" s="142">
        <f>IF('Subcases Monthly'!$D$4="","",VLOOKUP('Subcases Monthly'!$D$4,'ReOpens by Court Division'!$A$4:$EJ$70,119,FALSE))</f>
        <v>0</v>
      </c>
      <c r="K30" s="142">
        <f>IF('Subcases Monthly'!$D$4="","",VLOOKUP('Subcases Monthly'!$D$4,'ReOpens by Court Division'!$A$4:$EJ$70,106,FALSE))</f>
        <v>0</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1526</v>
      </c>
    </row>
    <row r="31" spans="1:17" ht="19.5" customHeight="1" thickBot="1" x14ac:dyDescent="0.25">
      <c r="B31" s="494" t="s">
        <v>139</v>
      </c>
      <c r="C31" s="461"/>
      <c r="D31" s="461"/>
      <c r="E31" s="258">
        <v>50</v>
      </c>
      <c r="F31" s="259">
        <v>57</v>
      </c>
      <c r="G31" s="259">
        <f>IF('Subcases Monthly'!$D$4="","",VLOOKUP('Subcases Monthly'!$D$4,'ReOpens by Court Division'!$A$4:$EJ$70,116,FALSE))</f>
        <v>0</v>
      </c>
      <c r="H31" s="259">
        <f>IF('Subcases Monthly'!$D$4="","",VLOOKUP('Subcases Monthly'!$D$4,'ReOpens by Court Division'!$A$4:$EJ$70,117,FALSE))</f>
        <v>0</v>
      </c>
      <c r="I31" s="259">
        <f>IF('Subcases Monthly'!$D$4="","",VLOOKUP('Subcases Monthly'!$D$4,'ReOpens by Court Division'!$A$4:$EJ$70,118,FALSE))</f>
        <v>0</v>
      </c>
      <c r="J31" s="259">
        <f>IF('Subcases Monthly'!$D$4="","",VLOOKUP('Subcases Monthly'!$D$4,'ReOpens by Court Division'!$A$4:$EJ$70,41,FALSE))</f>
        <v>0</v>
      </c>
      <c r="K31" s="259">
        <f>IF('Subcases Monthly'!$D$4="","",VLOOKUP('Subcases Monthly'!$D$4,'ReOpens by Court Division'!$A$4:$EJ$70,120,FALSE))</f>
        <v>0</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107</v>
      </c>
    </row>
    <row r="32" spans="1:17" ht="19.5" hidden="1" customHeight="1" thickBot="1" x14ac:dyDescent="0.25">
      <c r="B32" s="497" t="s">
        <v>138</v>
      </c>
      <c r="C32" s="469"/>
      <c r="D32" s="470"/>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8" t="str">
        <f>"TOTAL "&amp;C22&amp;" "</f>
        <v xml:space="preserve">TOTAL REOPENS </v>
      </c>
      <c r="C33" s="471"/>
      <c r="D33" s="472"/>
      <c r="E33" s="211">
        <f t="shared" ref="E33:P33" si="6">SUM(E23:E32)</f>
        <v>2907</v>
      </c>
      <c r="F33" s="212">
        <f t="shared" si="6"/>
        <v>2775</v>
      </c>
      <c r="G33" s="212">
        <f t="shared" si="6"/>
        <v>0</v>
      </c>
      <c r="H33" s="212">
        <f t="shared" si="6"/>
        <v>0</v>
      </c>
      <c r="I33" s="212">
        <f t="shared" si="6"/>
        <v>0</v>
      </c>
      <c r="J33" s="212">
        <f t="shared" si="6"/>
        <v>0</v>
      </c>
      <c r="K33" s="212">
        <f t="shared" si="6"/>
        <v>0</v>
      </c>
      <c r="L33" s="212">
        <f t="shared" si="6"/>
        <v>0</v>
      </c>
      <c r="M33" s="212">
        <f t="shared" si="6"/>
        <v>0</v>
      </c>
      <c r="N33" s="212">
        <f t="shared" si="6"/>
        <v>0</v>
      </c>
      <c r="O33" s="212">
        <f t="shared" si="6"/>
        <v>0</v>
      </c>
      <c r="P33" s="248">
        <f t="shared" si="6"/>
        <v>0</v>
      </c>
      <c r="Q33" s="262">
        <f t="shared" si="5"/>
        <v>5682</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5" t="s">
        <v>132</v>
      </c>
      <c r="C36" s="474"/>
      <c r="D36" s="474"/>
      <c r="E36" s="252">
        <v>26</v>
      </c>
      <c r="F36" s="173">
        <v>24</v>
      </c>
      <c r="G36" s="173">
        <f>IF('Subcases Monthly'!$D$4="","",VLOOKUP('Subcases Monthly'!$D$4,'NOAs by Court Division'!$A$4:$EJ$70,4,FALSE))</f>
        <v>0</v>
      </c>
      <c r="H36" s="173">
        <f>IF('Subcases Monthly'!$D$4="","",VLOOKUP('Subcases Monthly'!$D$4,'NOAs by Court Division'!$A$4:$EJ$70,5,FALSE))</f>
        <v>0</v>
      </c>
      <c r="I36" s="173">
        <f>IF('Subcases Monthly'!$D$4="","",VLOOKUP('Subcases Monthly'!$D$4,'NOAs by Court Division'!$A$4:$EJ$70,6,FALSE))</f>
        <v>0</v>
      </c>
      <c r="J36" s="173">
        <f>IF('Subcases Monthly'!$D$4="","",VLOOKUP('Subcases Monthly'!$D$4,'NOAs by Court Division'!$A$4:$EJ$70,7,FALSE))</f>
        <v>0</v>
      </c>
      <c r="K36" s="173">
        <f>IF('Subcases Monthly'!$D$4="","",VLOOKUP('Subcases Monthly'!$D$4,'NOAs by Court Division'!$A$4:$EJ$70,8,FALSE))</f>
        <v>0</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50</v>
      </c>
    </row>
    <row r="37" spans="1:17" ht="19.5" customHeight="1" x14ac:dyDescent="0.2">
      <c r="B37" s="494" t="s">
        <v>133</v>
      </c>
      <c r="C37" s="461"/>
      <c r="D37" s="461"/>
      <c r="E37" s="141">
        <v>0</v>
      </c>
      <c r="F37" s="142">
        <v>3</v>
      </c>
      <c r="G37" s="142">
        <f>IF('Subcases Monthly'!$D$4="","",VLOOKUP('Subcases Monthly'!$D$4,'NOAs by Court Division'!$A$4:$EJ$70,18,FALSE))</f>
        <v>0</v>
      </c>
      <c r="H37" s="142">
        <f>IF('Subcases Monthly'!$D$4="","",VLOOKUP('Subcases Monthly'!$D$4,'NOAs by Court Division'!$A$4:$EJ$70,19,FALSE))</f>
        <v>0</v>
      </c>
      <c r="I37" s="142">
        <f>IF('Subcases Monthly'!$D$4="","",VLOOKUP('Subcases Monthly'!$D$4,'NOAs by Court Division'!$A$4:$EJ$70,20,FALSE))</f>
        <v>0</v>
      </c>
      <c r="J37" s="142">
        <f>IF('Subcases Monthly'!$D$4="","",VLOOKUP('Subcases Monthly'!$D$4,'NOAs by Court Division'!$A$4:$EJ$70,21,FALSE))</f>
        <v>0</v>
      </c>
      <c r="K37" s="142">
        <f>IF('Subcases Monthly'!$D$4="","",VLOOKUP('Subcases Monthly'!$D$4,'NOAs by Court Division'!$A$4:$EJ$70,22,FALSE))</f>
        <v>0</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3</v>
      </c>
    </row>
    <row r="38" spans="1:17" ht="19.5" customHeight="1" x14ac:dyDescent="0.2">
      <c r="B38" s="494" t="s">
        <v>140</v>
      </c>
      <c r="C38" s="461"/>
      <c r="D38" s="461"/>
      <c r="E38" s="255">
        <v>0</v>
      </c>
      <c r="F38" s="256">
        <v>0</v>
      </c>
      <c r="G38" s="256">
        <f>IF('Subcases Monthly'!$D$4="","",VLOOKUP('Subcases Monthly'!$D$4,'NOAs by Court Division'!$A$4:$EJ$70,32,FALSE))</f>
        <v>0</v>
      </c>
      <c r="H38" s="256">
        <f>IF('Subcases Monthly'!$D$4="","",VLOOKUP('Subcases Monthly'!$D$4,'NOAs by Court Division'!$A$4:$EJ$70,33,FALSE))</f>
        <v>0</v>
      </c>
      <c r="I38" s="256">
        <f>IF('Subcases Monthly'!$D$4="","",VLOOKUP('Subcases Monthly'!$D$4,'NOAs by Court Division'!$A$4:$EJ$70,34,FALSE))</f>
        <v>0</v>
      </c>
      <c r="J38" s="256">
        <f>IF('Subcases Monthly'!$D$4="","",VLOOKUP('Subcases Monthly'!$D$4,'NOAs by Court Division'!$A$4:$EJ$70,35,FALSE))</f>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0</v>
      </c>
    </row>
    <row r="39" spans="1:17" ht="19.5" customHeight="1" x14ac:dyDescent="0.2">
      <c r="B39" s="494" t="s">
        <v>137</v>
      </c>
      <c r="C39" s="461"/>
      <c r="D39" s="461"/>
      <c r="E39" s="141">
        <v>3</v>
      </c>
      <c r="F39" s="142">
        <v>6</v>
      </c>
      <c r="G39" s="142">
        <f>IF('Subcases Monthly'!$D$4="","",VLOOKUP('Subcases Monthly'!$D$4,'NOAs by Court Division'!$A$4:$EJ$70,46,FALSE))</f>
        <v>0</v>
      </c>
      <c r="H39" s="142">
        <f>IF('Subcases Monthly'!$D$4="","",VLOOKUP('Subcases Monthly'!$D$4,'NOAs by Court Division'!$A$4:$EJ$70,47,FALSE))</f>
        <v>0</v>
      </c>
      <c r="I39" s="142">
        <f>IF('Subcases Monthly'!$D$4="","",VLOOKUP('Subcases Monthly'!$D$4,'NOAs by Court Division'!$A$4:$EJ$70,48,FALSE))</f>
        <v>0</v>
      </c>
      <c r="J39" s="142">
        <f>IF('Subcases Monthly'!$D$4="","",VLOOKUP('Subcases Monthly'!$D$4,'NOAs by Court Division'!$A$4:$EJ$70,49,FALSE))</f>
        <v>0</v>
      </c>
      <c r="K39" s="142">
        <f>IF('Subcases Monthly'!$D$4="","",VLOOKUP('Subcases Monthly'!$D$4,'NOAs by Court Division'!$A$4:$EJ$70,50,FALSE))</f>
        <v>0</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9</v>
      </c>
    </row>
    <row r="40" spans="1:17" ht="19.5" customHeight="1" x14ac:dyDescent="0.2">
      <c r="B40" s="494" t="s">
        <v>134</v>
      </c>
      <c r="C40" s="461"/>
      <c r="D40" s="461"/>
      <c r="E40" s="255">
        <v>7</v>
      </c>
      <c r="F40" s="256">
        <v>6</v>
      </c>
      <c r="G40" s="256">
        <f>IF('Subcases Monthly'!$D$4="","",VLOOKUP('Subcases Monthly'!$D$4,'NOAs by Court Division'!$A$4:$EJ$70,60,FALSE))</f>
        <v>0</v>
      </c>
      <c r="H40" s="256">
        <f>IF('Subcases Monthly'!$D$4="","",VLOOKUP('Subcases Monthly'!$D$4,'NOAs by Court Division'!$A$4:$EJ$70,61,FALSE))</f>
        <v>0</v>
      </c>
      <c r="I40" s="256">
        <f>IF('Subcases Monthly'!$D$4="","",VLOOKUP('Subcases Monthly'!$D$4,'NOAs by Court Division'!$A$4:$EJ$70,62,FALSE))</f>
        <v>0</v>
      </c>
      <c r="J40" s="256">
        <f>IF('Subcases Monthly'!$D$4="","",VLOOKUP('Subcases Monthly'!$D$4,'NOAs by Court Division'!$A$4:$EJ$70,77,FALSE))</f>
        <v>0</v>
      </c>
      <c r="K40" s="256">
        <f>IF('Subcases Monthly'!$D$4="","",VLOOKUP('Subcases Monthly'!$D$4,'NOAs by Court Division'!$A$4:$EJ$70,64,FALSE))</f>
        <v>0</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13</v>
      </c>
    </row>
    <row r="41" spans="1:17" ht="19.5" customHeight="1" x14ac:dyDescent="0.2">
      <c r="B41" s="494" t="s">
        <v>135</v>
      </c>
      <c r="C41" s="461"/>
      <c r="D41" s="461"/>
      <c r="E41" s="141">
        <v>2</v>
      </c>
      <c r="F41" s="142">
        <v>3</v>
      </c>
      <c r="G41" s="142">
        <f>IF('Subcases Monthly'!$D$4="","",VLOOKUP('Subcases Monthly'!$D$4,'NOAs by Court Division'!$A$4:$EJ$70,74,FALSE))</f>
        <v>0</v>
      </c>
      <c r="H41" s="142">
        <f>IF('Subcases Monthly'!$D$4="","",VLOOKUP('Subcases Monthly'!$D$4,'NOAs by Court Division'!$A$4:$EJ$70,75,FALSE))</f>
        <v>0</v>
      </c>
      <c r="I41" s="142">
        <f>IF('Subcases Monthly'!$D$4="","",VLOOKUP('Subcases Monthly'!$D$4,'NOAs by Court Division'!$A$4:$EJ$70,76,FALSE))</f>
        <v>0</v>
      </c>
      <c r="J41" s="142">
        <f>IF('Subcases Monthly'!$D$4="","",VLOOKUP('Subcases Monthly'!$D$4,'NOAs by Court Division'!$A$4:$EJ$70,91,FALSE))</f>
        <v>0</v>
      </c>
      <c r="K41" s="142">
        <f>IF('Subcases Monthly'!$D$4="","",VLOOKUP('Subcases Monthly'!$D$4,'NOAs by Court Division'!$A$4:$EJ$70,78,FALSE))</f>
        <v>0</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5</v>
      </c>
    </row>
    <row r="42" spans="1:17" ht="19.5" customHeight="1" x14ac:dyDescent="0.2">
      <c r="B42" s="494" t="s">
        <v>136</v>
      </c>
      <c r="C42" s="461"/>
      <c r="D42" s="461"/>
      <c r="E42" s="255">
        <v>0</v>
      </c>
      <c r="F42" s="256">
        <v>2</v>
      </c>
      <c r="G42" s="256">
        <f>IF('Subcases Monthly'!$D$4="","",VLOOKUP('Subcases Monthly'!$D$4,'NOAs by Court Division'!$A$4:$EJ$70,88,FALSE))</f>
        <v>0</v>
      </c>
      <c r="H42" s="256">
        <f>IF('Subcases Monthly'!$D$4="","",VLOOKUP('Subcases Monthly'!$D$4,'NOAs by Court Division'!$A$4:$EJ$70,89,FALSE))</f>
        <v>0</v>
      </c>
      <c r="I42" s="256">
        <f>IF('Subcases Monthly'!$D$4="","",VLOOKUP('Subcases Monthly'!$D$4,'NOAs by Court Division'!$A$4:$EJ$70,90,FALSE))</f>
        <v>0</v>
      </c>
      <c r="J42" s="256">
        <f>IF('Subcases Monthly'!$D$4="","",VLOOKUP('Subcases Monthly'!$D$4,'NOAs by Court Division'!$A$4:$EJ$70,105,FALSE))</f>
        <v>0</v>
      </c>
      <c r="K42" s="256">
        <f>IF('Subcases Monthly'!$D$4="","",VLOOKUP('Subcases Monthly'!$D$4,'NOAs by Court Division'!$A$4:$EJ$70,92,FALSE))</f>
        <v>0</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2</v>
      </c>
    </row>
    <row r="43" spans="1:17" ht="19.5" customHeight="1" x14ac:dyDescent="0.2">
      <c r="B43" s="494" t="s">
        <v>229</v>
      </c>
      <c r="C43" s="461"/>
      <c r="D43" s="461"/>
      <c r="E43" s="141">
        <v>5</v>
      </c>
      <c r="F43" s="142">
        <v>4</v>
      </c>
      <c r="G43" s="142">
        <f>IF('Subcases Monthly'!$D$4="","",VLOOKUP('Subcases Monthly'!$D$4,'NOAs by Court Division'!$A$4:$EJ$70,102,FALSE))</f>
        <v>0</v>
      </c>
      <c r="H43" s="142">
        <f>IF('Subcases Monthly'!$D$4="","",VLOOKUP('Subcases Monthly'!$D$4,'NOAs by Court Division'!$A$4:$EJ$70,103,FALSE))</f>
        <v>0</v>
      </c>
      <c r="I43" s="142">
        <f>IF('Subcases Monthly'!$D$4="","",VLOOKUP('Subcases Monthly'!$D$4,'NOAs by Court Division'!$A$4:$EJ$70,104,FALSE))</f>
        <v>0</v>
      </c>
      <c r="J43" s="142">
        <f>IF('Subcases Monthly'!$D$4="","",VLOOKUP('Subcases Monthly'!$D$4,'NOAs by Court Division'!$A$4:$EJ$70,119,FALSE))</f>
        <v>0</v>
      </c>
      <c r="K43" s="142">
        <f>IF('Subcases Monthly'!$D$4="","",VLOOKUP('Subcases Monthly'!$D$4,'NOAs by Court Division'!$A$4:$EJ$70,106,FALSE))</f>
        <v>0</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9</v>
      </c>
    </row>
    <row r="44" spans="1:17" ht="19.5" customHeight="1" x14ac:dyDescent="0.2">
      <c r="B44" s="494" t="s">
        <v>139</v>
      </c>
      <c r="C44" s="461"/>
      <c r="D44" s="461"/>
      <c r="E44" s="255">
        <v>0</v>
      </c>
      <c r="F44" s="256">
        <v>1</v>
      </c>
      <c r="G44" s="256">
        <f>IF('Subcases Monthly'!$D$4="","",VLOOKUP('Subcases Monthly'!$D$4,'NOAs by Court Division'!$A$4:$EJ$70,116,FALSE))</f>
        <v>0</v>
      </c>
      <c r="H44" s="256">
        <f>IF('Subcases Monthly'!$D$4="","",VLOOKUP('Subcases Monthly'!$D$4,'NOAs by Court Division'!$A$4:$EJ$70,117,FALSE))</f>
        <v>0</v>
      </c>
      <c r="I44" s="256">
        <f>IF('Subcases Monthly'!$D$4="","",VLOOKUP('Subcases Monthly'!$D$4,'NOAs by Court Division'!$A$4:$EJ$70,118,FALSE))</f>
        <v>0</v>
      </c>
      <c r="J44" s="256">
        <f>IF('Subcases Monthly'!$D$4="","",VLOOKUP('Subcases Monthly'!$D$4,'NOAs by Court Division'!$A$4:$EJ$70,41,FALSE))</f>
        <v>0</v>
      </c>
      <c r="K44" s="256">
        <f>IF('Subcases Monthly'!$D$4="","",VLOOKUP('Subcases Monthly'!$D$4,'NOAs by Court Division'!$A$4:$EJ$70,120,FALSE))</f>
        <v>0</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1</v>
      </c>
    </row>
    <row r="45" spans="1:17" ht="19.5" customHeight="1" thickBot="1" x14ac:dyDescent="0.25">
      <c r="B45" s="497" t="s">
        <v>138</v>
      </c>
      <c r="C45" s="469"/>
      <c r="D45" s="470"/>
      <c r="E45" s="141">
        <f>IF('Subcases Monthly'!$D$4="","",VLOOKUP('Subcases Monthly'!$D$4,'NOAs by Court Division'!$A$4:$EJ$70,128,FALSE))</f>
        <v>0</v>
      </c>
      <c r="F45" s="142">
        <v>0</v>
      </c>
      <c r="G45" s="142">
        <f>IF('Subcases Monthly'!$D$4="","",VLOOKUP('Subcases Monthly'!$D$4,'NOAs by Court Division'!$A$4:$EJ$70,130,FALSE))</f>
        <v>0</v>
      </c>
      <c r="H45" s="142">
        <f>IF('Subcases Monthly'!$D$4="","",VLOOKUP('Subcases Monthly'!$D$4,'NOAs by Court Division'!$A$4:$EJ$70,131,FALSE))</f>
        <v>0</v>
      </c>
      <c r="I45" s="142">
        <f>IF('Subcases Monthly'!$D$4="","",VLOOKUP('Subcases Monthly'!$D$4,'NOAs by Court Division'!$A$4:$EJ$70,132,FALSE))</f>
        <v>0</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0</v>
      </c>
    </row>
    <row r="46" spans="1:17" s="13" customFormat="1" ht="19.5" customHeight="1" thickTop="1" thickBot="1" x14ac:dyDescent="0.25">
      <c r="B46" s="498" t="str">
        <f>"TOTAL "&amp;C35&amp;" ="</f>
        <v>TOTAL NOAs =</v>
      </c>
      <c r="C46" s="471"/>
      <c r="D46" s="472"/>
      <c r="E46" s="211">
        <f t="shared" ref="E46:P46" si="9">SUM(E36:E45)</f>
        <v>43</v>
      </c>
      <c r="F46" s="212">
        <f t="shared" si="9"/>
        <v>49</v>
      </c>
      <c r="G46" s="212">
        <f t="shared" si="9"/>
        <v>0</v>
      </c>
      <c r="H46" s="212">
        <f t="shared" si="9"/>
        <v>0</v>
      </c>
      <c r="I46" s="212">
        <f t="shared" si="9"/>
        <v>0</v>
      </c>
      <c r="J46" s="212">
        <f t="shared" si="9"/>
        <v>0</v>
      </c>
      <c r="K46" s="212">
        <f t="shared" si="9"/>
        <v>0</v>
      </c>
      <c r="L46" s="212">
        <f t="shared" si="9"/>
        <v>0</v>
      </c>
      <c r="M46" s="212">
        <f t="shared" si="9"/>
        <v>0</v>
      </c>
      <c r="N46" s="212">
        <f t="shared" si="9"/>
        <v>0</v>
      </c>
      <c r="O46" s="212">
        <f t="shared" si="9"/>
        <v>0</v>
      </c>
      <c r="P46" s="248">
        <f t="shared" si="9"/>
        <v>0</v>
      </c>
      <c r="Q46" s="262">
        <f t="shared" si="8"/>
        <v>92</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M23" sqref="M23:M25"/>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9" t="s">
        <v>244</v>
      </c>
      <c r="B1" s="509"/>
      <c r="C1" s="509"/>
      <c r="D1" s="509"/>
      <c r="E1" s="509"/>
      <c r="F1" s="509"/>
    </row>
    <row r="2" spans="1:19" ht="24" customHeight="1" x14ac:dyDescent="0.2">
      <c r="A2" s="509" t="str">
        <f>'Subcases Monthly'!A2</f>
        <v>County Fiscal Year 2024-2025</v>
      </c>
      <c r="B2" s="509"/>
      <c r="C2" s="509"/>
      <c r="D2" s="509"/>
    </row>
    <row r="3" spans="1:19" ht="24" customHeight="1" x14ac:dyDescent="0.2">
      <c r="N3"/>
      <c r="O3"/>
    </row>
    <row r="4" spans="1:19" ht="21" customHeight="1" x14ac:dyDescent="0.2">
      <c r="A4" s="6"/>
      <c r="C4" s="21" t="s">
        <v>2</v>
      </c>
      <c r="D4" s="499" t="str">
        <f>IF('Subcases Monthly'!D4="","",'Subcases Monthly'!D4)</f>
        <v>Brevard</v>
      </c>
      <c r="E4" s="499"/>
      <c r="F4" s="6"/>
      <c r="G4" s="21" t="s">
        <v>303</v>
      </c>
      <c r="H4" s="477" t="s">
        <v>382</v>
      </c>
      <c r="I4" s="477"/>
      <c r="K4" s="21" t="s">
        <v>3</v>
      </c>
      <c r="L4" s="164">
        <v>1</v>
      </c>
      <c r="N4"/>
      <c r="O4"/>
      <c r="R4" s="510" t="s">
        <v>1909</v>
      </c>
      <c r="S4" s="510"/>
    </row>
    <row r="5" spans="1:19" ht="21" customHeight="1" x14ac:dyDescent="0.3">
      <c r="A5" s="6"/>
      <c r="C5" s="21" t="s">
        <v>73</v>
      </c>
      <c r="D5" s="511" t="str">
        <f>IF('Subcases Monthly'!D5="","",'Subcases Monthly'!D5)</f>
        <v xml:space="preserve">Carol Vail </v>
      </c>
      <c r="E5" s="511"/>
      <c r="F5" s="6"/>
      <c r="N5" s="7"/>
      <c r="R5" s="510"/>
      <c r="S5" s="510"/>
    </row>
    <row r="6" spans="1:19" ht="21" customHeight="1" x14ac:dyDescent="0.2">
      <c r="A6" s="6"/>
      <c r="C6" s="21" t="s">
        <v>84</v>
      </c>
      <c r="D6" s="499" t="str">
        <f>IF('Subcases Monthly'!D6="","",'Subcases Monthly'!D6)</f>
        <v>carol.vail@brevardclerk.us</v>
      </c>
      <c r="E6" s="499"/>
      <c r="F6" s="6"/>
      <c r="G6" s="62"/>
      <c r="H6" s="62"/>
      <c r="I6" s="62"/>
      <c r="L6"/>
      <c r="M6"/>
      <c r="N6"/>
      <c r="O6"/>
      <c r="P6"/>
      <c r="Q6"/>
    </row>
    <row r="7" spans="1:19" ht="21" customHeight="1" x14ac:dyDescent="0.2">
      <c r="A7" s="6"/>
      <c r="L7"/>
      <c r="M7"/>
      <c r="N7"/>
      <c r="O7"/>
    </row>
    <row r="8" spans="1:19" ht="19.5" customHeight="1" thickBot="1" x14ac:dyDescent="0.25">
      <c r="A8" s="528" t="s">
        <v>245</v>
      </c>
      <c r="B8" s="528"/>
      <c r="C8" s="528"/>
      <c r="D8" s="528"/>
      <c r="E8" s="18" t="s">
        <v>246</v>
      </c>
      <c r="L8" s="17" t="s">
        <v>254</v>
      </c>
    </row>
    <row r="9" spans="1:19" ht="27" customHeight="1" thickBot="1" x14ac:dyDescent="0.25">
      <c r="A9" s="17"/>
      <c r="B9" s="17"/>
      <c r="C9" s="17"/>
      <c r="D9" s="17"/>
      <c r="E9" s="524" t="s">
        <v>233</v>
      </c>
      <c r="F9" s="526"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56" t="s">
        <v>253</v>
      </c>
      <c r="L9" s="515" t="str">
        <f t="shared" ref="L9:M9" si="0">TEXT(DATE(LEFT(RIGHT($A$2,9),4),10,1),"m/d/yy")&amp;" - "&amp;TEXT(DATE(LEFT(RIGHT($A$2,9),4),12,31),"m/d/yy")</f>
        <v>10/1/24 - 12/31/24</v>
      </c>
      <c r="M9" s="516" t="str">
        <f t="shared" si="0"/>
        <v>10/1/24 - 12/31/24</v>
      </c>
      <c r="N9" s="515" t="str">
        <f t="shared" ref="N9:O9" si="1">TEXT(DATE(RIGHT($A$2,4),1,1),"m/d/yy")&amp;" - "&amp;TEXT(DATE(RIGHT($A$2,4),3,31),"m/d/yy")</f>
        <v>1/1/25 - 3/31/25</v>
      </c>
      <c r="O9" s="516" t="str">
        <f t="shared" si="1"/>
        <v>1/1/25 - 3/31/25</v>
      </c>
      <c r="P9" s="515" t="str">
        <f t="shared" ref="P9:Q9" si="2">TEXT(DATE(RIGHT($A$2,4),4,1),"m/d/yy")&amp;" - "&amp;TEXT(DATE(RIGHT($A$2,4),6,30),"m/d/yy")</f>
        <v>4/1/25 - 6/30/25</v>
      </c>
      <c r="Q9" s="517" t="str">
        <f t="shared" si="2"/>
        <v>4/1/25 - 6/30/25</v>
      </c>
      <c r="R9" s="532" t="str">
        <f t="shared" ref="R9:S9" si="3">TEXT(DATE(RIGHT($A$2,4),7,1),"m/d/yy")&amp;" - "&amp;TEXT(DATE(RIGHT($A$2,4),9,30),"m/d/yy")</f>
        <v>7/1/25 - 9/30/25</v>
      </c>
      <c r="S9" s="533" t="str">
        <f t="shared" si="3"/>
        <v>7/1/25 - 9/30/25</v>
      </c>
    </row>
    <row r="10" spans="1:19" ht="19.5" customHeight="1" thickBot="1" x14ac:dyDescent="0.25">
      <c r="B10" s="17"/>
      <c r="C10" s="552"/>
      <c r="D10" s="553"/>
      <c r="E10" s="525"/>
      <c r="F10" s="527"/>
      <c r="G10" s="170" t="s">
        <v>249</v>
      </c>
      <c r="H10" s="171" t="s">
        <v>250</v>
      </c>
      <c r="I10" s="171" t="s">
        <v>251</v>
      </c>
      <c r="J10" s="172" t="s">
        <v>252</v>
      </c>
      <c r="K10" s="557"/>
      <c r="L10" s="165" t="s">
        <v>234</v>
      </c>
      <c r="M10" s="166" t="s">
        <v>242</v>
      </c>
      <c r="N10" s="165" t="s">
        <v>234</v>
      </c>
      <c r="O10" s="166" t="s">
        <v>242</v>
      </c>
      <c r="P10" s="165" t="s">
        <v>234</v>
      </c>
      <c r="Q10" s="166" t="s">
        <v>242</v>
      </c>
      <c r="R10" s="165" t="s">
        <v>234</v>
      </c>
      <c r="S10" s="166" t="s">
        <v>242</v>
      </c>
    </row>
    <row r="11" spans="1:19" ht="19.5" customHeight="1" x14ac:dyDescent="0.2">
      <c r="B11" s="518" t="s">
        <v>399</v>
      </c>
      <c r="C11" s="519"/>
      <c r="D11" s="114" t="s">
        <v>241</v>
      </c>
      <c r="E11" s="529">
        <v>0.8</v>
      </c>
      <c r="F11" s="512" t="s">
        <v>255</v>
      </c>
      <c r="G11" s="78">
        <f>SUM('Outputs Monthly'!E10:G10)</f>
        <v>1074</v>
      </c>
      <c r="H11" s="79">
        <f>SUM('Outputs Monthly'!H10:J10)</f>
        <v>0</v>
      </c>
      <c r="I11" s="79">
        <f>SUM('Outputs Monthly'!K10:M10)</f>
        <v>0</v>
      </c>
      <c r="J11" s="80">
        <f>SUM('Outputs Monthly'!N10:P10)</f>
        <v>0</v>
      </c>
      <c r="K11" s="81">
        <f>SUM(G11:J11)</f>
        <v>1074</v>
      </c>
      <c r="L11" s="534"/>
      <c r="M11" s="537"/>
      <c r="N11" s="540"/>
      <c r="O11" s="537"/>
      <c r="P11" s="540"/>
      <c r="Q11" s="546"/>
      <c r="R11" s="543"/>
      <c r="S11" s="549"/>
    </row>
    <row r="12" spans="1:19" ht="19.5" customHeight="1" thickBot="1" x14ac:dyDescent="0.25">
      <c r="B12" s="520"/>
      <c r="C12" s="521"/>
      <c r="D12" s="113" t="s">
        <v>247</v>
      </c>
      <c r="E12" s="530"/>
      <c r="F12" s="513"/>
      <c r="G12" s="82">
        <v>1041</v>
      </c>
      <c r="H12" s="83">
        <f>IF('Subcases Monthly'!$D$4="","",VLOOKUP('Subcases Monthly'!$D$4,'Timeliness Performance'!$A$4:$DQ$70,3,FALSE))</f>
        <v>0</v>
      </c>
      <c r="I12" s="83">
        <f>IF('Subcases Monthly'!$D$4="","",VLOOKUP('Subcases Monthly'!$D$4,'Timeliness Performance'!$A$4:$DQ$70,4,FALSE))</f>
        <v>0</v>
      </c>
      <c r="J12" s="84"/>
      <c r="K12" s="85">
        <f>SUM(G12:J12)</f>
        <v>1041</v>
      </c>
      <c r="L12" s="535"/>
      <c r="M12" s="538"/>
      <c r="N12" s="541"/>
      <c r="O12" s="538"/>
      <c r="P12" s="541"/>
      <c r="Q12" s="547"/>
      <c r="R12" s="544"/>
      <c r="S12" s="550"/>
    </row>
    <row r="13" spans="1:19" ht="19.5" customHeight="1" thickTop="1" thickBot="1" x14ac:dyDescent="0.25">
      <c r="B13" s="522"/>
      <c r="C13" s="523"/>
      <c r="D13" s="30" t="s">
        <v>236</v>
      </c>
      <c r="E13" s="531"/>
      <c r="F13" s="514"/>
      <c r="G13" s="86">
        <f>IF(G11=0,1,IFERROR(ROUND(G12/G11,4),0))</f>
        <v>0.96930000000000005</v>
      </c>
      <c r="H13" s="87">
        <f t="shared" ref="H13:K13" si="4">IF(H11=0,1,IFERROR(ROUND(H12/H11,4),0))</f>
        <v>1</v>
      </c>
      <c r="I13" s="87">
        <f t="shared" si="4"/>
        <v>1</v>
      </c>
      <c r="J13" s="88">
        <f t="shared" si="4"/>
        <v>1</v>
      </c>
      <c r="K13" s="89">
        <f t="shared" si="4"/>
        <v>0.96930000000000005</v>
      </c>
      <c r="L13" s="536"/>
      <c r="M13" s="539"/>
      <c r="N13" s="542"/>
      <c r="O13" s="539"/>
      <c r="P13" s="542"/>
      <c r="Q13" s="548"/>
      <c r="R13" s="545"/>
      <c r="S13" s="551"/>
    </row>
    <row r="14" spans="1:19" customFormat="1" ht="19.5" customHeight="1" x14ac:dyDescent="0.2">
      <c r="B14" s="518" t="s">
        <v>398</v>
      </c>
      <c r="C14" s="519"/>
      <c r="D14" s="114" t="s">
        <v>241</v>
      </c>
      <c r="E14" s="529">
        <v>0.8</v>
      </c>
      <c r="F14" s="512" t="s">
        <v>256</v>
      </c>
      <c r="G14" s="78">
        <f>SUM('Outputs Monthly'!E11:G11)</f>
        <v>1051</v>
      </c>
      <c r="H14" s="79">
        <f>SUM('Outputs Monthly'!H11:J11)</f>
        <v>0</v>
      </c>
      <c r="I14" s="79">
        <f>SUM('Outputs Monthly'!K11:M11)</f>
        <v>0</v>
      </c>
      <c r="J14" s="80">
        <f>SUM('Outputs Monthly'!N11:P11)</f>
        <v>0</v>
      </c>
      <c r="K14" s="81">
        <f>SUM(G14:J14)</f>
        <v>1051</v>
      </c>
      <c r="L14" s="534"/>
      <c r="M14" s="537"/>
      <c r="N14" s="540"/>
      <c r="O14" s="537"/>
      <c r="P14" s="540"/>
      <c r="Q14" s="546"/>
      <c r="R14" s="543"/>
      <c r="S14" s="549"/>
    </row>
    <row r="15" spans="1:19" customFormat="1" ht="19.5" customHeight="1" thickBot="1" x14ac:dyDescent="0.25">
      <c r="B15" s="520"/>
      <c r="C15" s="521"/>
      <c r="D15" s="113" t="s">
        <v>259</v>
      </c>
      <c r="E15" s="530"/>
      <c r="F15" s="513"/>
      <c r="G15" s="82">
        <v>1024</v>
      </c>
      <c r="H15" s="83">
        <f>IF('Subcases Monthly'!$D$4="","",VLOOKUP('Subcases Monthly'!$D$4,'Timeliness Performance'!$A$4:$DQ$70,7,FALSE))</f>
        <v>0</v>
      </c>
      <c r="I15" s="83">
        <f>IF('Subcases Monthly'!$D$4="","",VLOOKUP('Subcases Monthly'!$D$4,'Timeliness Performance'!$A$4:$DQ$70,8,FALSE))</f>
        <v>0</v>
      </c>
      <c r="J15" s="84"/>
      <c r="K15" s="85">
        <f>SUM(G15:J15)</f>
        <v>1024</v>
      </c>
      <c r="L15" s="535"/>
      <c r="M15" s="538"/>
      <c r="N15" s="541"/>
      <c r="O15" s="538"/>
      <c r="P15" s="541"/>
      <c r="Q15" s="547"/>
      <c r="R15" s="544"/>
      <c r="S15" s="550"/>
    </row>
    <row r="16" spans="1:19" customFormat="1" ht="19.5" customHeight="1" thickTop="1" thickBot="1" x14ac:dyDescent="0.25">
      <c r="B16" s="522"/>
      <c r="C16" s="523"/>
      <c r="D16" s="30" t="s">
        <v>236</v>
      </c>
      <c r="E16" s="531"/>
      <c r="F16" s="514"/>
      <c r="G16" s="86">
        <f>IF(G14=0,1,IFERROR(ROUND(G15/G14,4),0))</f>
        <v>0.97430000000000005</v>
      </c>
      <c r="H16" s="87">
        <f t="shared" ref="H16" si="5">IF(H14=0,1,IFERROR(ROUND(H15/H14,4),0))</f>
        <v>1</v>
      </c>
      <c r="I16" s="87">
        <f t="shared" ref="I16" si="6">IF(I14=0,1,IFERROR(ROUND(I15/I14,4),0))</f>
        <v>1</v>
      </c>
      <c r="J16" s="88">
        <f t="shared" ref="J16" si="7">IF(J14=0,1,IFERROR(ROUND(J15/J14,4),0))</f>
        <v>1</v>
      </c>
      <c r="K16" s="89">
        <f t="shared" ref="K16" si="8">IF(K14=0,1,IFERROR(ROUND(K15/K14,4),0))</f>
        <v>0.97430000000000005</v>
      </c>
      <c r="L16" s="536"/>
      <c r="M16" s="539"/>
      <c r="N16" s="542"/>
      <c r="O16" s="539"/>
      <c r="P16" s="542"/>
      <c r="Q16" s="548"/>
      <c r="R16" s="545"/>
      <c r="S16" s="551"/>
    </row>
    <row r="17" spans="2:19" customFormat="1" ht="19.5" customHeight="1" x14ac:dyDescent="0.2">
      <c r="B17" s="518" t="s">
        <v>400</v>
      </c>
      <c r="C17" s="519"/>
      <c r="D17" s="114" t="s">
        <v>241</v>
      </c>
      <c r="E17" s="529">
        <v>0.8</v>
      </c>
      <c r="F17" s="512" t="s">
        <v>255</v>
      </c>
      <c r="G17" s="78">
        <f>SUM('Outputs Monthly'!E12:G12)</f>
        <v>192</v>
      </c>
      <c r="H17" s="79">
        <f>SUM('Outputs Monthly'!H12:J12)</f>
        <v>0</v>
      </c>
      <c r="I17" s="79">
        <f>SUM('Outputs Monthly'!K12:M12)</f>
        <v>0</v>
      </c>
      <c r="J17" s="80">
        <f>SUM('Outputs Monthly'!N12:P12)</f>
        <v>0</v>
      </c>
      <c r="K17" s="81">
        <f>SUM(G17:J17)</f>
        <v>192</v>
      </c>
      <c r="L17" s="534"/>
      <c r="M17" s="537"/>
      <c r="N17" s="540"/>
      <c r="O17" s="537"/>
      <c r="P17" s="540"/>
      <c r="Q17" s="546"/>
      <c r="R17" s="543"/>
      <c r="S17" s="549"/>
    </row>
    <row r="18" spans="2:19" customFormat="1" ht="19.5" customHeight="1" thickBot="1" x14ac:dyDescent="0.25">
      <c r="B18" s="520"/>
      <c r="C18" s="521"/>
      <c r="D18" s="113" t="s">
        <v>247</v>
      </c>
      <c r="E18" s="530"/>
      <c r="F18" s="513"/>
      <c r="G18" s="82">
        <v>191</v>
      </c>
      <c r="H18" s="83">
        <f>IF('Subcases Monthly'!$D$4="","",VLOOKUP('Subcases Monthly'!$D$4,'Timeliness Performance'!$A$4:$DQ$70,11,FALSE))</f>
        <v>0</v>
      </c>
      <c r="I18" s="83">
        <f>IF('Subcases Monthly'!$D$4="","",VLOOKUP('Subcases Monthly'!$D$4,'Timeliness Performance'!$A$4:$DQ$70,12,FALSE))</f>
        <v>0</v>
      </c>
      <c r="J18" s="84"/>
      <c r="K18" s="85">
        <f>SUM(G18:J18)</f>
        <v>191</v>
      </c>
      <c r="L18" s="535"/>
      <c r="M18" s="538"/>
      <c r="N18" s="541"/>
      <c r="O18" s="538"/>
      <c r="P18" s="541"/>
      <c r="Q18" s="547"/>
      <c r="R18" s="544"/>
      <c r="S18" s="550"/>
    </row>
    <row r="19" spans="2:19" customFormat="1" ht="19.5" customHeight="1" thickTop="1" thickBot="1" x14ac:dyDescent="0.25">
      <c r="B19" s="522"/>
      <c r="C19" s="523"/>
      <c r="D19" s="30" t="s">
        <v>236</v>
      </c>
      <c r="E19" s="531"/>
      <c r="F19" s="514"/>
      <c r="G19" s="86">
        <f>IF(G17=0,1,IFERROR(ROUND(G18/G17,4),0))</f>
        <v>0.99480000000000002</v>
      </c>
      <c r="H19" s="87">
        <f t="shared" ref="H19" si="9">IF(H17=0,1,IFERROR(ROUND(H18/H17,4),0))</f>
        <v>1</v>
      </c>
      <c r="I19" s="87">
        <f t="shared" ref="I19" si="10">IF(I17=0,1,IFERROR(ROUND(I18/I17,4),0))</f>
        <v>1</v>
      </c>
      <c r="J19" s="88">
        <f t="shared" ref="J19" si="11">IF(J17=0,1,IFERROR(ROUND(J18/J17,4),0))</f>
        <v>1</v>
      </c>
      <c r="K19" s="89">
        <f t="shared" ref="K19" si="12">IF(K17=0,1,IFERROR(ROUND(K18/K17,4),0))</f>
        <v>0.99480000000000002</v>
      </c>
      <c r="L19" s="536"/>
      <c r="M19" s="539"/>
      <c r="N19" s="542"/>
      <c r="O19" s="539"/>
      <c r="P19" s="542"/>
      <c r="Q19" s="548"/>
      <c r="R19" s="545"/>
      <c r="S19" s="551"/>
    </row>
    <row r="20" spans="2:19" customFormat="1" ht="19.5" customHeight="1" x14ac:dyDescent="0.2">
      <c r="B20" s="518" t="s">
        <v>257</v>
      </c>
      <c r="C20" s="519"/>
      <c r="D20" s="114" t="s">
        <v>258</v>
      </c>
      <c r="E20" s="529">
        <v>0.8</v>
      </c>
      <c r="F20" s="512" t="s">
        <v>256</v>
      </c>
      <c r="G20" s="78">
        <f>SUM('Outputs Monthly'!E13:G13)</f>
        <v>1420</v>
      </c>
      <c r="H20" s="79">
        <f>SUM('Outputs Monthly'!H13:J13)</f>
        <v>0</v>
      </c>
      <c r="I20" s="79">
        <f>SUM('Outputs Monthly'!K13:M13)</f>
        <v>0</v>
      </c>
      <c r="J20" s="80">
        <f>SUM('Outputs Monthly'!N13:P13)</f>
        <v>0</v>
      </c>
      <c r="K20" s="81">
        <f>SUM(G20:J20)</f>
        <v>1420</v>
      </c>
      <c r="L20" s="534"/>
      <c r="M20" s="537"/>
      <c r="N20" s="540"/>
      <c r="O20" s="537"/>
      <c r="P20" s="540"/>
      <c r="Q20" s="546"/>
      <c r="R20" s="543"/>
      <c r="S20" s="549"/>
    </row>
    <row r="21" spans="2:19" customFormat="1" ht="19.5" customHeight="1" thickBot="1" x14ac:dyDescent="0.25">
      <c r="B21" s="520"/>
      <c r="C21" s="521"/>
      <c r="D21" s="113" t="s">
        <v>259</v>
      </c>
      <c r="E21" s="530"/>
      <c r="F21" s="513"/>
      <c r="G21" s="82">
        <v>1371</v>
      </c>
      <c r="H21" s="83">
        <f>IF('Subcases Monthly'!$D$4="","",VLOOKUP('Subcases Monthly'!$D$4,'Timeliness Performance'!$A$4:$DQ$70,15,FALSE))</f>
        <v>0</v>
      </c>
      <c r="I21" s="83">
        <f>IF('Subcases Monthly'!$D$4="","",VLOOKUP('Subcases Monthly'!$D$4,'Timeliness Performance'!$A$4:$DQ$70,16,FALSE))</f>
        <v>0</v>
      </c>
      <c r="J21" s="84"/>
      <c r="K21" s="85">
        <f>SUM(G21:J21)</f>
        <v>1371</v>
      </c>
      <c r="L21" s="535"/>
      <c r="M21" s="538"/>
      <c r="N21" s="541"/>
      <c r="O21" s="538"/>
      <c r="P21" s="541"/>
      <c r="Q21" s="547"/>
      <c r="R21" s="544"/>
      <c r="S21" s="550"/>
    </row>
    <row r="22" spans="2:19" customFormat="1" ht="19.5" customHeight="1" thickTop="1" thickBot="1" x14ac:dyDescent="0.25">
      <c r="B22" s="522"/>
      <c r="C22" s="523"/>
      <c r="D22" s="30" t="s">
        <v>236</v>
      </c>
      <c r="E22" s="531"/>
      <c r="F22" s="514"/>
      <c r="G22" s="86">
        <f>IF(G20=0,1,IFERROR(ROUND(G21/G20,4),0))</f>
        <v>0.96550000000000002</v>
      </c>
      <c r="H22" s="87">
        <f t="shared" ref="H22" si="13">IF(H20=0,1,IFERROR(ROUND(H21/H20,4),0))</f>
        <v>1</v>
      </c>
      <c r="I22" s="87">
        <f t="shared" ref="I22" si="14">IF(I20=0,1,IFERROR(ROUND(I21/I20,4),0))</f>
        <v>1</v>
      </c>
      <c r="J22" s="88">
        <f t="shared" ref="J22" si="15">IF(J20=0,1,IFERROR(ROUND(J21/J20,4),0))</f>
        <v>1</v>
      </c>
      <c r="K22" s="89">
        <f t="shared" ref="K22" si="16">IF(K20=0,1,IFERROR(ROUND(K21/K20,4),0))</f>
        <v>0.96550000000000002</v>
      </c>
      <c r="L22" s="536"/>
      <c r="M22" s="539"/>
      <c r="N22" s="542"/>
      <c r="O22" s="539"/>
      <c r="P22" s="542"/>
      <c r="Q22" s="548"/>
      <c r="R22" s="545"/>
      <c r="S22" s="551"/>
    </row>
    <row r="23" spans="2:19" customFormat="1" ht="19.5" customHeight="1" x14ac:dyDescent="0.2">
      <c r="B23" s="518" t="s">
        <v>260</v>
      </c>
      <c r="C23" s="519"/>
      <c r="D23" s="114" t="s">
        <v>241</v>
      </c>
      <c r="E23" s="529">
        <v>0.8</v>
      </c>
      <c r="F23" s="512" t="s">
        <v>255</v>
      </c>
      <c r="G23" s="78">
        <f>SUM('Outputs Monthly'!E14:G14)</f>
        <v>549</v>
      </c>
      <c r="H23" s="79">
        <f>SUM('Outputs Monthly'!H14:J14)</f>
        <v>0</v>
      </c>
      <c r="I23" s="79">
        <f>SUM('Outputs Monthly'!K14:M14)</f>
        <v>0</v>
      </c>
      <c r="J23" s="80">
        <f>SUM('Outputs Monthly'!N14:P14)</f>
        <v>0</v>
      </c>
      <c r="K23" s="81">
        <f>SUM(G23:J23)</f>
        <v>549</v>
      </c>
      <c r="L23" s="534" t="s">
        <v>235</v>
      </c>
      <c r="M23" s="537" t="s">
        <v>1912</v>
      </c>
      <c r="N23" s="540"/>
      <c r="O23" s="537"/>
      <c r="P23" s="540"/>
      <c r="Q23" s="546"/>
      <c r="R23" s="543"/>
      <c r="S23" s="549"/>
    </row>
    <row r="24" spans="2:19" customFormat="1" ht="19.5" customHeight="1" thickBot="1" x14ac:dyDescent="0.25">
      <c r="B24" s="520"/>
      <c r="C24" s="521"/>
      <c r="D24" s="113" t="s">
        <v>247</v>
      </c>
      <c r="E24" s="530"/>
      <c r="F24" s="513"/>
      <c r="G24" s="82">
        <v>433</v>
      </c>
      <c r="H24" s="83">
        <f>IF('Subcases Monthly'!$D$4="","",VLOOKUP('Subcases Monthly'!$D$4,'Timeliness Performance'!$A$4:$DQ$70,19,FALSE))</f>
        <v>0</v>
      </c>
      <c r="I24" s="83">
        <f>IF('Subcases Monthly'!$D$4="","",VLOOKUP('Subcases Monthly'!$D$4,'Timeliness Performance'!$A$4:$DQ$70,20,FALSE))</f>
        <v>0</v>
      </c>
      <c r="J24" s="84"/>
      <c r="K24" s="85">
        <f>SUM(G24:J24)</f>
        <v>433</v>
      </c>
      <c r="L24" s="535"/>
      <c r="M24" s="538"/>
      <c r="N24" s="541"/>
      <c r="O24" s="538"/>
      <c r="P24" s="541"/>
      <c r="Q24" s="547"/>
      <c r="R24" s="544"/>
      <c r="S24" s="550"/>
    </row>
    <row r="25" spans="2:19" customFormat="1" ht="19.5" customHeight="1" thickTop="1" thickBot="1" x14ac:dyDescent="0.25">
      <c r="B25" s="522"/>
      <c r="C25" s="523"/>
      <c r="D25" s="30" t="s">
        <v>236</v>
      </c>
      <c r="E25" s="531"/>
      <c r="F25" s="514"/>
      <c r="G25" s="86">
        <f>IF(G23=0,1,IFERROR(ROUND(G24/G23,4),0))</f>
        <v>0.78869999999999996</v>
      </c>
      <c r="H25" s="87">
        <f t="shared" ref="H25" si="17">IF(H23=0,1,IFERROR(ROUND(H24/H23,4),0))</f>
        <v>1</v>
      </c>
      <c r="I25" s="87">
        <f t="shared" ref="I25" si="18">IF(I23=0,1,IFERROR(ROUND(I24/I23,4),0))</f>
        <v>1</v>
      </c>
      <c r="J25" s="88">
        <f t="shared" ref="J25" si="19">IF(J23=0,1,IFERROR(ROUND(J24/J23,4),0))</f>
        <v>1</v>
      </c>
      <c r="K25" s="89">
        <f t="shared" ref="K25" si="20">IF(K23=0,1,IFERROR(ROUND(K24/K23,4),0))</f>
        <v>0.78869999999999996</v>
      </c>
      <c r="L25" s="536"/>
      <c r="M25" s="539"/>
      <c r="N25" s="542"/>
      <c r="O25" s="539"/>
      <c r="P25" s="542"/>
      <c r="Q25" s="548"/>
      <c r="R25" s="545"/>
      <c r="S25" s="551"/>
    </row>
    <row r="26" spans="2:19" customFormat="1" ht="19.5" customHeight="1" x14ac:dyDescent="0.2">
      <c r="B26" s="518" t="s">
        <v>261</v>
      </c>
      <c r="C26" s="519"/>
      <c r="D26" s="114" t="s">
        <v>241</v>
      </c>
      <c r="E26" s="529">
        <v>0.8</v>
      </c>
      <c r="F26" s="512" t="s">
        <v>255</v>
      </c>
      <c r="G26" s="78">
        <f>SUM('Outputs Monthly'!E15:G15)</f>
        <v>2371</v>
      </c>
      <c r="H26" s="79">
        <f>SUM('Outputs Monthly'!H15:J15)</f>
        <v>0</v>
      </c>
      <c r="I26" s="79">
        <f>SUM('Outputs Monthly'!K15:M15)</f>
        <v>0</v>
      </c>
      <c r="J26" s="80">
        <f>SUM('Outputs Monthly'!N15:P15)</f>
        <v>0</v>
      </c>
      <c r="K26" s="81">
        <f>SUM(G26:J26)</f>
        <v>2371</v>
      </c>
      <c r="L26" s="534"/>
      <c r="M26" s="537"/>
      <c r="N26" s="540"/>
      <c r="O26" s="537"/>
      <c r="P26" s="540"/>
      <c r="Q26" s="546"/>
      <c r="R26" s="543"/>
      <c r="S26" s="549"/>
    </row>
    <row r="27" spans="2:19" customFormat="1" ht="19.5" customHeight="1" thickBot="1" x14ac:dyDescent="0.25">
      <c r="B27" s="520"/>
      <c r="C27" s="521"/>
      <c r="D27" s="113" t="s">
        <v>247</v>
      </c>
      <c r="E27" s="530"/>
      <c r="F27" s="513"/>
      <c r="G27" s="82">
        <v>2148</v>
      </c>
      <c r="H27" s="83">
        <f>IF('Subcases Monthly'!$D$4="","",VLOOKUP('Subcases Monthly'!$D$4,'Timeliness Performance'!$A$4:$DQ$70,23,FALSE))</f>
        <v>0</v>
      </c>
      <c r="I27" s="83">
        <f>IF('Subcases Monthly'!$D$4="","",VLOOKUP('Subcases Monthly'!$D$4,'Timeliness Performance'!$A$4:$DQ$70,24,FALSE))</f>
        <v>0</v>
      </c>
      <c r="J27" s="84"/>
      <c r="K27" s="85">
        <f>SUM(G27:J27)</f>
        <v>2148</v>
      </c>
      <c r="L27" s="535"/>
      <c r="M27" s="538"/>
      <c r="N27" s="541"/>
      <c r="O27" s="538"/>
      <c r="P27" s="541"/>
      <c r="Q27" s="547"/>
      <c r="R27" s="544"/>
      <c r="S27" s="550"/>
    </row>
    <row r="28" spans="2:19" customFormat="1" ht="19.5" customHeight="1" thickTop="1" thickBot="1" x14ac:dyDescent="0.25">
      <c r="B28" s="522"/>
      <c r="C28" s="523"/>
      <c r="D28" s="30" t="s">
        <v>236</v>
      </c>
      <c r="E28" s="531"/>
      <c r="F28" s="514"/>
      <c r="G28" s="86">
        <f>IF(G26=0,1,IFERROR(ROUND(G27/G26,4),0))</f>
        <v>0.90590000000000004</v>
      </c>
      <c r="H28" s="87">
        <f t="shared" ref="H28" si="21">IF(H26=0,1,IFERROR(ROUND(H27/H26,4),0))</f>
        <v>1</v>
      </c>
      <c r="I28" s="87">
        <f t="shared" ref="I28" si="22">IF(I26=0,1,IFERROR(ROUND(I27/I26,4),0))</f>
        <v>1</v>
      </c>
      <c r="J28" s="88">
        <f t="shared" ref="J28" si="23">IF(J26=0,1,IFERROR(ROUND(J27/J26,4),0))</f>
        <v>1</v>
      </c>
      <c r="K28" s="89">
        <f t="shared" ref="K28" si="24">IF(K26=0,1,IFERROR(ROUND(K27/K26,4),0))</f>
        <v>0.90590000000000004</v>
      </c>
      <c r="L28" s="536"/>
      <c r="M28" s="539"/>
      <c r="N28" s="542"/>
      <c r="O28" s="539"/>
      <c r="P28" s="542"/>
      <c r="Q28" s="548"/>
      <c r="R28" s="545"/>
      <c r="S28" s="551"/>
    </row>
    <row r="29" spans="2:19" customFormat="1" ht="19.5" customHeight="1" x14ac:dyDescent="0.2">
      <c r="B29" s="518" t="s">
        <v>262</v>
      </c>
      <c r="C29" s="519"/>
      <c r="D29" s="114" t="s">
        <v>241</v>
      </c>
      <c r="E29" s="529">
        <v>0.8</v>
      </c>
      <c r="F29" s="512" t="s">
        <v>255</v>
      </c>
      <c r="G29" s="78">
        <f>SUM('Outputs Monthly'!E16:G16)</f>
        <v>1196</v>
      </c>
      <c r="H29" s="79">
        <f>SUM('Outputs Monthly'!H16:J16)</f>
        <v>0</v>
      </c>
      <c r="I29" s="79">
        <f>SUM('Outputs Monthly'!K16:M16)</f>
        <v>0</v>
      </c>
      <c r="J29" s="80">
        <f>SUM('Outputs Monthly'!N16:P16)</f>
        <v>0</v>
      </c>
      <c r="K29" s="81">
        <f>SUM(G29:J29)</f>
        <v>1196</v>
      </c>
      <c r="L29" s="534"/>
      <c r="M29" s="537"/>
      <c r="N29" s="540"/>
      <c r="O29" s="537"/>
      <c r="P29" s="540"/>
      <c r="Q29" s="546"/>
      <c r="R29" s="543"/>
      <c r="S29" s="549"/>
    </row>
    <row r="30" spans="2:19" customFormat="1" ht="19.5" customHeight="1" thickBot="1" x14ac:dyDescent="0.25">
      <c r="B30" s="520"/>
      <c r="C30" s="521"/>
      <c r="D30" s="113" t="s">
        <v>247</v>
      </c>
      <c r="E30" s="530"/>
      <c r="F30" s="513"/>
      <c r="G30" s="82">
        <v>1039</v>
      </c>
      <c r="H30" s="83">
        <f>IF('Subcases Monthly'!$D$4="","",VLOOKUP('Subcases Monthly'!$D$4,'Timeliness Performance'!$A$4:$DQ$70,27,FALSE))</f>
        <v>0</v>
      </c>
      <c r="I30" s="83">
        <f>IF('Subcases Monthly'!$D$4="","",VLOOKUP('Subcases Monthly'!$D$4,'Timeliness Performance'!$A$4:$DQ$70,28,FALSE))</f>
        <v>0</v>
      </c>
      <c r="J30" s="84"/>
      <c r="K30" s="85">
        <f>SUM(G30:J30)</f>
        <v>1039</v>
      </c>
      <c r="L30" s="535"/>
      <c r="M30" s="538"/>
      <c r="N30" s="541"/>
      <c r="O30" s="538"/>
      <c r="P30" s="541"/>
      <c r="Q30" s="547"/>
      <c r="R30" s="544"/>
      <c r="S30" s="550"/>
    </row>
    <row r="31" spans="2:19" customFormat="1" ht="19.5" customHeight="1" thickTop="1" thickBot="1" x14ac:dyDescent="0.25">
      <c r="B31" s="522"/>
      <c r="C31" s="523"/>
      <c r="D31" s="30" t="s">
        <v>236</v>
      </c>
      <c r="E31" s="531"/>
      <c r="F31" s="514"/>
      <c r="G31" s="86">
        <f>IF(G29=0,1,IFERROR(ROUND(G30/G29,4),0))</f>
        <v>0.86870000000000003</v>
      </c>
      <c r="H31" s="87">
        <f t="shared" ref="H31" si="25">IF(H29=0,1,IFERROR(ROUND(H30/H29,4),0))</f>
        <v>1</v>
      </c>
      <c r="I31" s="87">
        <f t="shared" ref="I31" si="26">IF(I29=0,1,IFERROR(ROUND(I30/I29,4),0))</f>
        <v>1</v>
      </c>
      <c r="J31" s="88">
        <f t="shared" ref="J31" si="27">IF(J29=0,1,IFERROR(ROUND(J30/J29,4),0))</f>
        <v>1</v>
      </c>
      <c r="K31" s="89">
        <f t="shared" ref="K31" si="28">IF(K29=0,1,IFERROR(ROUND(K30/K29,4),0))</f>
        <v>0.86870000000000003</v>
      </c>
      <c r="L31" s="536"/>
      <c r="M31" s="539"/>
      <c r="N31" s="542"/>
      <c r="O31" s="539"/>
      <c r="P31" s="542"/>
      <c r="Q31" s="548"/>
      <c r="R31" s="545"/>
      <c r="S31" s="551"/>
    </row>
    <row r="32" spans="2:19" customFormat="1" ht="19.5" customHeight="1" x14ac:dyDescent="0.2">
      <c r="B32" s="518" t="s">
        <v>263</v>
      </c>
      <c r="C32" s="519"/>
      <c r="D32" s="114" t="s">
        <v>241</v>
      </c>
      <c r="E32" s="529">
        <v>0.8</v>
      </c>
      <c r="F32" s="512" t="s">
        <v>256</v>
      </c>
      <c r="G32" s="78">
        <f>SUM('Outputs Monthly'!E17:G17)</f>
        <v>868</v>
      </c>
      <c r="H32" s="79">
        <f>SUM('Outputs Monthly'!H17:J17)</f>
        <v>0</v>
      </c>
      <c r="I32" s="79">
        <f>SUM('Outputs Monthly'!K17:M17)</f>
        <v>0</v>
      </c>
      <c r="J32" s="80">
        <f>SUM('Outputs Monthly'!N17:P17)</f>
        <v>0</v>
      </c>
      <c r="K32" s="81">
        <f>SUM(G32:J32)</f>
        <v>868</v>
      </c>
      <c r="L32" s="534"/>
      <c r="M32" s="537"/>
      <c r="N32" s="540"/>
      <c r="O32" s="537"/>
      <c r="P32" s="540"/>
      <c r="Q32" s="546"/>
      <c r="R32" s="543"/>
      <c r="S32" s="549"/>
    </row>
    <row r="33" spans="1:19" customFormat="1" ht="19.5" customHeight="1" thickBot="1" x14ac:dyDescent="0.25">
      <c r="B33" s="520"/>
      <c r="C33" s="521"/>
      <c r="D33" s="113" t="s">
        <v>259</v>
      </c>
      <c r="E33" s="530"/>
      <c r="F33" s="513"/>
      <c r="G33" s="82">
        <v>845</v>
      </c>
      <c r="H33" s="83">
        <f>IF('Subcases Monthly'!$D$4="","",VLOOKUP('Subcases Monthly'!$D$4,'Timeliness Performance'!$A$4:$DQ$70,31,FALSE))</f>
        <v>0</v>
      </c>
      <c r="I33" s="83">
        <f>IF('Subcases Monthly'!$D$4="","",VLOOKUP('Subcases Monthly'!$D$4,'Timeliness Performance'!$A$4:$DQ$70,32,FALSE))</f>
        <v>0</v>
      </c>
      <c r="J33" s="84"/>
      <c r="K33" s="85">
        <f>SUM(G33:J33)</f>
        <v>845</v>
      </c>
      <c r="L33" s="535"/>
      <c r="M33" s="538"/>
      <c r="N33" s="541"/>
      <c r="O33" s="538"/>
      <c r="P33" s="541"/>
      <c r="Q33" s="547"/>
      <c r="R33" s="544"/>
      <c r="S33" s="550"/>
    </row>
    <row r="34" spans="1:19" customFormat="1" ht="19.5" customHeight="1" thickTop="1" thickBot="1" x14ac:dyDescent="0.25">
      <c r="B34" s="522"/>
      <c r="C34" s="523"/>
      <c r="D34" s="30" t="s">
        <v>236</v>
      </c>
      <c r="E34" s="531"/>
      <c r="F34" s="514"/>
      <c r="G34" s="86">
        <f>IF(G32=0,1,IFERROR(ROUND(G33/G32,4),0))</f>
        <v>0.97350000000000003</v>
      </c>
      <c r="H34" s="87">
        <f t="shared" ref="H34" si="29">IF(H32=0,1,IFERROR(ROUND(H33/H32,4),0))</f>
        <v>1</v>
      </c>
      <c r="I34" s="87">
        <f t="shared" ref="I34" si="30">IF(I32=0,1,IFERROR(ROUND(I33/I32,4),0))</f>
        <v>1</v>
      </c>
      <c r="J34" s="88">
        <f t="shared" ref="J34" si="31">IF(J32=0,1,IFERROR(ROUND(J33/J32,4),0))</f>
        <v>1</v>
      </c>
      <c r="K34" s="89">
        <f t="shared" ref="K34" si="32">IF(K32=0,1,IFERROR(ROUND(K33/K32,4),0))</f>
        <v>0.97350000000000003</v>
      </c>
      <c r="L34" s="536"/>
      <c r="M34" s="539"/>
      <c r="N34" s="542"/>
      <c r="O34" s="539"/>
      <c r="P34" s="542"/>
      <c r="Q34" s="548"/>
      <c r="R34" s="545"/>
      <c r="S34" s="551"/>
    </row>
    <row r="35" spans="1:19" customFormat="1" ht="19.5" customHeight="1" x14ac:dyDescent="0.2">
      <c r="B35" s="518" t="s">
        <v>264</v>
      </c>
      <c r="C35" s="519"/>
      <c r="D35" s="114" t="s">
        <v>241</v>
      </c>
      <c r="E35" s="529">
        <v>0.8</v>
      </c>
      <c r="F35" s="512" t="s">
        <v>255</v>
      </c>
      <c r="G35" s="78">
        <f>SUM('Outputs Monthly'!E18:G18)</f>
        <v>38</v>
      </c>
      <c r="H35" s="79">
        <f>SUM('Outputs Monthly'!H18:J18)</f>
        <v>0</v>
      </c>
      <c r="I35" s="79">
        <f>SUM('Outputs Monthly'!K18:M18)</f>
        <v>0</v>
      </c>
      <c r="J35" s="80">
        <f>SUM('Outputs Monthly'!N18:P18)</f>
        <v>0</v>
      </c>
      <c r="K35" s="81">
        <f>SUM(G35:J35)</f>
        <v>38</v>
      </c>
      <c r="L35" s="534"/>
      <c r="M35" s="537"/>
      <c r="N35" s="540"/>
      <c r="O35" s="537"/>
      <c r="P35" s="540"/>
      <c r="Q35" s="546"/>
      <c r="R35" s="543"/>
      <c r="S35" s="549"/>
    </row>
    <row r="36" spans="1:19" customFormat="1" ht="19.5" customHeight="1" thickBot="1" x14ac:dyDescent="0.25">
      <c r="B36" s="520"/>
      <c r="C36" s="521"/>
      <c r="D36" s="113" t="s">
        <v>247</v>
      </c>
      <c r="E36" s="530"/>
      <c r="F36" s="513"/>
      <c r="G36" s="82">
        <v>38</v>
      </c>
      <c r="H36" s="83">
        <f>IF('Subcases Monthly'!$D$4="","",VLOOKUP('Subcases Monthly'!$D$4,'Timeliness Performance'!$A$4:$DQ$70,35,FALSE))</f>
        <v>0</v>
      </c>
      <c r="I36" s="83">
        <f>IF('Subcases Monthly'!$D$4="","",VLOOKUP('Subcases Monthly'!$D$4,'Timeliness Performance'!$A$4:$DQ$70,36,FALSE))</f>
        <v>0</v>
      </c>
      <c r="J36" s="84"/>
      <c r="K36" s="85">
        <f>SUM(G36:J36)</f>
        <v>38</v>
      </c>
      <c r="L36" s="535"/>
      <c r="M36" s="538"/>
      <c r="N36" s="541"/>
      <c r="O36" s="538"/>
      <c r="P36" s="541"/>
      <c r="Q36" s="547"/>
      <c r="R36" s="544"/>
      <c r="S36" s="550"/>
    </row>
    <row r="37" spans="1:19" customFormat="1" ht="15.75" customHeight="1" thickTop="1" thickBot="1" x14ac:dyDescent="0.25">
      <c r="B37" s="522"/>
      <c r="C37" s="523"/>
      <c r="D37" s="30" t="s">
        <v>236</v>
      </c>
      <c r="E37" s="531"/>
      <c r="F37" s="514"/>
      <c r="G37" s="86">
        <f>IF(G35=0,1,IFERROR(ROUND(G36/G35,4),0))</f>
        <v>1</v>
      </c>
      <c r="H37" s="87">
        <f t="shared" ref="H37" si="33">IF(H35=0,1,IFERROR(ROUND(H36/H35,4),0))</f>
        <v>1</v>
      </c>
      <c r="I37" s="87">
        <f t="shared" ref="I37" si="34">IF(I35=0,1,IFERROR(ROUND(I36/I35,4),0))</f>
        <v>1</v>
      </c>
      <c r="J37" s="88">
        <f t="shared" ref="J37" si="35">IF(J35=0,1,IFERROR(ROUND(J36/J35,4),0))</f>
        <v>1</v>
      </c>
      <c r="K37" s="89">
        <f t="shared" ref="K37" si="36">IF(K35=0,1,IFERROR(ROUND(K36/K35,4),0))</f>
        <v>1</v>
      </c>
      <c r="L37" s="536"/>
      <c r="M37" s="539"/>
      <c r="N37" s="542"/>
      <c r="O37" s="539"/>
      <c r="P37" s="542"/>
      <c r="Q37" s="548"/>
      <c r="R37" s="545"/>
      <c r="S37" s="551"/>
    </row>
    <row r="38" spans="1:19" customFormat="1" ht="19.5" customHeight="1" x14ac:dyDescent="0.2">
      <c r="B38" s="518" t="s">
        <v>265</v>
      </c>
      <c r="C38" s="519"/>
      <c r="D38" s="114" t="s">
        <v>258</v>
      </c>
      <c r="E38" s="529">
        <v>0.8</v>
      </c>
      <c r="F38" s="512" t="s">
        <v>266</v>
      </c>
      <c r="G38" s="78">
        <f>SUM('Outputs Monthly'!E19:G19)</f>
        <v>6952</v>
      </c>
      <c r="H38" s="79">
        <f>SUM('Outputs Monthly'!H19:J19)</f>
        <v>0</v>
      </c>
      <c r="I38" s="79">
        <f>SUM('Outputs Monthly'!K19:M19)</f>
        <v>0</v>
      </c>
      <c r="J38" s="80">
        <f>SUM('Outputs Monthly'!N19:P19)</f>
        <v>0</v>
      </c>
      <c r="K38" s="81">
        <f>SUM(G38:J38)</f>
        <v>6952</v>
      </c>
      <c r="L38" s="534"/>
      <c r="M38" s="537"/>
      <c r="N38" s="540"/>
      <c r="O38" s="537"/>
      <c r="P38" s="540"/>
      <c r="Q38" s="546"/>
      <c r="R38" s="543"/>
      <c r="S38" s="549"/>
    </row>
    <row r="39" spans="1:19" customFormat="1" ht="19.5" customHeight="1" thickBot="1" x14ac:dyDescent="0.25">
      <c r="B39" s="520"/>
      <c r="C39" s="521"/>
      <c r="D39" s="113" t="s">
        <v>267</v>
      </c>
      <c r="E39" s="530"/>
      <c r="F39" s="513"/>
      <c r="G39" s="82">
        <v>6665</v>
      </c>
      <c r="H39" s="83">
        <f>IF('Subcases Monthly'!$D$4="","",VLOOKUP('Subcases Monthly'!$D$4,'Timeliness Performance'!$A$4:$DQ$70,39,FALSE))</f>
        <v>0</v>
      </c>
      <c r="I39" s="83">
        <f>IF('Subcases Monthly'!$D$4="","",VLOOKUP('Subcases Monthly'!$D$4,'Timeliness Performance'!$A$4:$DQ$70,40,FALSE))</f>
        <v>0</v>
      </c>
      <c r="J39" s="84"/>
      <c r="K39" s="85">
        <f>SUM(G39:J39)</f>
        <v>6665</v>
      </c>
      <c r="L39" s="535"/>
      <c r="M39" s="538"/>
      <c r="N39" s="541"/>
      <c r="O39" s="538"/>
      <c r="P39" s="541"/>
      <c r="Q39" s="547"/>
      <c r="R39" s="544"/>
      <c r="S39" s="550"/>
    </row>
    <row r="40" spans="1:19" customFormat="1" ht="19.5" customHeight="1" thickTop="1" thickBot="1" x14ac:dyDescent="0.25">
      <c r="B40" s="522"/>
      <c r="C40" s="523"/>
      <c r="D40" s="30" t="s">
        <v>236</v>
      </c>
      <c r="E40" s="531"/>
      <c r="F40" s="514"/>
      <c r="G40" s="86">
        <f>IF(G38=0,1,IFERROR(ROUND(G39/G38,4),0))</f>
        <v>0.9587</v>
      </c>
      <c r="H40" s="87">
        <f t="shared" ref="H40" si="37">IF(H38=0,1,IFERROR(ROUND(H39/H38,4),0))</f>
        <v>1</v>
      </c>
      <c r="I40" s="87">
        <f t="shared" ref="I40" si="38">IF(I38=0,1,IFERROR(ROUND(I39/I38,4),0))</f>
        <v>1</v>
      </c>
      <c r="J40" s="88">
        <f t="shared" ref="J40" si="39">IF(J38=0,1,IFERROR(ROUND(J39/J38,4),0))</f>
        <v>1</v>
      </c>
      <c r="K40" s="89">
        <f t="shared" ref="K40" si="40">IF(K38=0,1,IFERROR(ROUND(K39/K38,4),0))</f>
        <v>0.9587</v>
      </c>
      <c r="L40" s="536"/>
      <c r="M40" s="539"/>
      <c r="N40" s="542"/>
      <c r="O40" s="539"/>
      <c r="P40" s="542"/>
      <c r="Q40" s="548"/>
      <c r="R40" s="554"/>
      <c r="S40" s="555"/>
    </row>
    <row r="41" spans="1:19" customFormat="1" ht="19.5" customHeight="1" x14ac:dyDescent="0.2"/>
    <row r="42" spans="1:19" customFormat="1" ht="19.5" customHeight="1" x14ac:dyDescent="0.2"/>
    <row r="43" spans="1:19" customFormat="1" ht="19.5" customHeight="1" thickBot="1" x14ac:dyDescent="0.25">
      <c r="A43" s="528" t="s">
        <v>268</v>
      </c>
      <c r="B43" s="528"/>
      <c r="C43" s="528"/>
      <c r="D43" s="52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4" t="s">
        <v>233</v>
      </c>
      <c r="F44" s="526"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56" t="s">
        <v>253</v>
      </c>
      <c r="L44" s="515" t="str">
        <f t="shared" ref="L44:M44" si="41">TEXT(DATE(LEFT(RIGHT($A$2,9),4),10,1),"m/d/yy")&amp;" - "&amp;TEXT(DATE(LEFT(RIGHT($A$2,9),4),12,31),"m/d/yy")</f>
        <v>10/1/24 - 12/31/24</v>
      </c>
      <c r="M44" s="516" t="str">
        <f t="shared" si="41"/>
        <v>10/1/24 - 12/31/24</v>
      </c>
      <c r="N44" s="515" t="str">
        <f t="shared" ref="N44:O44" si="42">TEXT(DATE(RIGHT($A$2,4),1,1),"m/d/yy")&amp;" - "&amp;TEXT(DATE(RIGHT($A$2,4),3,31),"m/d/yy")</f>
        <v>1/1/25 - 3/31/25</v>
      </c>
      <c r="O44" s="516" t="str">
        <f t="shared" si="42"/>
        <v>1/1/25 - 3/31/25</v>
      </c>
      <c r="P44" s="515" t="str">
        <f t="shared" ref="P44:Q44" si="43">TEXT(DATE(RIGHT($A$2,4),4,1),"m/d/yy")&amp;" - "&amp;TEXT(DATE(RIGHT($A$2,4),6,30),"m/d/yy")</f>
        <v>4/1/25 - 6/30/25</v>
      </c>
      <c r="Q44" s="517" t="str">
        <f t="shared" si="43"/>
        <v>4/1/25 - 6/30/25</v>
      </c>
      <c r="R44" s="532" t="str">
        <f t="shared" ref="R44:S44" si="44">TEXT(DATE(RIGHT($A$2,4),7,1),"m/d/yy")&amp;" - "&amp;TEXT(DATE(RIGHT($A$2,4),9,30),"m/d/yy")</f>
        <v>7/1/25 - 9/30/25</v>
      </c>
      <c r="S44" s="533" t="str">
        <f t="shared" si="44"/>
        <v>7/1/25 - 9/30/25</v>
      </c>
    </row>
    <row r="45" spans="1:19" ht="15.75" customHeight="1" thickBot="1" x14ac:dyDescent="0.25">
      <c r="B45" s="17"/>
      <c r="C45" s="552"/>
      <c r="D45" s="553"/>
      <c r="E45" s="525"/>
      <c r="F45" s="527"/>
      <c r="G45" s="170" t="s">
        <v>249</v>
      </c>
      <c r="H45" s="171" t="s">
        <v>250</v>
      </c>
      <c r="I45" s="171" t="s">
        <v>251</v>
      </c>
      <c r="J45" s="172" t="s">
        <v>252</v>
      </c>
      <c r="K45" s="557"/>
      <c r="L45" s="165" t="s">
        <v>234</v>
      </c>
      <c r="M45" s="166" t="s">
        <v>242</v>
      </c>
      <c r="N45" s="165" t="s">
        <v>234</v>
      </c>
      <c r="O45" s="166" t="s">
        <v>242</v>
      </c>
      <c r="P45" s="165" t="s">
        <v>234</v>
      </c>
      <c r="Q45" s="166" t="s">
        <v>242</v>
      </c>
      <c r="R45" s="165" t="s">
        <v>234</v>
      </c>
      <c r="S45" s="166" t="s">
        <v>242</v>
      </c>
    </row>
    <row r="46" spans="1:19" x14ac:dyDescent="0.2">
      <c r="B46" s="518" t="s">
        <v>399</v>
      </c>
      <c r="C46" s="519"/>
      <c r="D46" s="114" t="s">
        <v>243</v>
      </c>
      <c r="E46" s="529">
        <v>0.8</v>
      </c>
      <c r="F46" s="512" t="s">
        <v>256</v>
      </c>
      <c r="G46" s="39">
        <v>54787</v>
      </c>
      <c r="H46" s="40">
        <f>IF('Subcases Monthly'!$D$4="","",VLOOKUP('Subcases Monthly'!$D$4,'Timeliness Performance'!$A$4:$DQ$70,44,FALSE))</f>
        <v>0</v>
      </c>
      <c r="I46" s="40">
        <f>IF('Subcases Monthly'!$D$4="","",VLOOKUP('Subcases Monthly'!$D$4,'Timeliness Performance'!$A$4:$DQ$70,46,FALSE))</f>
        <v>0</v>
      </c>
      <c r="J46" s="41"/>
      <c r="K46" s="29">
        <f>SUM(G46:J46)</f>
        <v>54787</v>
      </c>
      <c r="L46" s="534"/>
      <c r="M46" s="537"/>
      <c r="N46" s="540"/>
      <c r="O46" s="537"/>
      <c r="P46" s="540"/>
      <c r="Q46" s="546"/>
      <c r="R46" s="543"/>
      <c r="S46" s="549"/>
    </row>
    <row r="47" spans="1:19" ht="16.5" thickBot="1" x14ac:dyDescent="0.25">
      <c r="B47" s="520"/>
      <c r="C47" s="521"/>
      <c r="D47" s="113" t="s">
        <v>259</v>
      </c>
      <c r="E47" s="530"/>
      <c r="F47" s="513"/>
      <c r="G47" s="36">
        <v>53918</v>
      </c>
      <c r="H47" s="37">
        <f>IF('Subcases Monthly'!$D$4="","",VLOOKUP('Subcases Monthly'!$D$4,'Timeliness Performance'!$A$4:$DQ$70,45,FALSE))</f>
        <v>0</v>
      </c>
      <c r="I47" s="37">
        <f>IF('Subcases Monthly'!$D$4="","",VLOOKUP('Subcases Monthly'!$D$4,'Timeliness Performance'!$A$4:$DQ$70,47,FALSE))</f>
        <v>0</v>
      </c>
      <c r="J47" s="38"/>
      <c r="K47" s="31">
        <f>SUM(G47:J47)</f>
        <v>53918</v>
      </c>
      <c r="L47" s="535"/>
      <c r="M47" s="538"/>
      <c r="N47" s="541"/>
      <c r="O47" s="538"/>
      <c r="P47" s="541"/>
      <c r="Q47" s="547"/>
      <c r="R47" s="544"/>
      <c r="S47" s="550"/>
    </row>
    <row r="48" spans="1:19" ht="17.25" thickTop="1" thickBot="1" x14ac:dyDescent="0.25">
      <c r="B48" s="522"/>
      <c r="C48" s="523"/>
      <c r="D48" s="30" t="s">
        <v>236</v>
      </c>
      <c r="E48" s="531"/>
      <c r="F48" s="514"/>
      <c r="G48" s="32">
        <f>IF(G46=0,1,IFERROR(ROUND(G47/G46,4),0))</f>
        <v>0.98409999999999997</v>
      </c>
      <c r="H48" s="33">
        <f t="shared" ref="H48" si="45">IF(H46=0,1,IFERROR(ROUND(H47/H46,4),0))</f>
        <v>1</v>
      </c>
      <c r="I48" s="33">
        <f t="shared" ref="I48" si="46">IF(I46=0,1,IFERROR(ROUND(I47/I46,4),0))</f>
        <v>1</v>
      </c>
      <c r="J48" s="34">
        <f t="shared" ref="J48" si="47">IF(J46=0,1,IFERROR(ROUND(J47/J46,4),0))</f>
        <v>1</v>
      </c>
      <c r="K48" s="35">
        <f t="shared" ref="K48" si="48">IF(K46=0,1,IFERROR(ROUND(K47/K46,4),0))</f>
        <v>0.98409999999999997</v>
      </c>
      <c r="L48" s="536"/>
      <c r="M48" s="539"/>
      <c r="N48" s="542"/>
      <c r="O48" s="539"/>
      <c r="P48" s="542"/>
      <c r="Q48" s="548"/>
      <c r="R48" s="545"/>
      <c r="S48" s="551"/>
    </row>
    <row r="49" spans="1:19" x14ac:dyDescent="0.2">
      <c r="A49"/>
      <c r="B49" s="518" t="s">
        <v>398</v>
      </c>
      <c r="C49" s="519"/>
      <c r="D49" s="114" t="s">
        <v>243</v>
      </c>
      <c r="E49" s="529">
        <v>0.8</v>
      </c>
      <c r="F49" s="512" t="s">
        <v>256</v>
      </c>
      <c r="G49" s="39">
        <v>18000</v>
      </c>
      <c r="H49" s="40">
        <f>IF('Subcases Monthly'!$D$4="","",VLOOKUP('Subcases Monthly'!$D$4,'Timeliness Performance'!$A$4:$DQ$70,52,FALSE))</f>
        <v>0</v>
      </c>
      <c r="I49" s="40">
        <f>IF('Subcases Monthly'!$D$4="","",VLOOKUP('Subcases Monthly'!$D$4,'Timeliness Performance'!$A$4:$DQ$70,54,FALSE))</f>
        <v>0</v>
      </c>
      <c r="J49" s="41"/>
      <c r="K49" s="29">
        <f>SUM(G49:J49)</f>
        <v>18000</v>
      </c>
      <c r="L49" s="534"/>
      <c r="M49" s="537"/>
      <c r="N49" s="540"/>
      <c r="O49" s="537"/>
      <c r="P49" s="540"/>
      <c r="Q49" s="546"/>
      <c r="R49" s="543"/>
      <c r="S49" s="549"/>
    </row>
    <row r="50" spans="1:19" ht="16.5" thickBot="1" x14ac:dyDescent="0.25">
      <c r="A50"/>
      <c r="B50" s="520"/>
      <c r="C50" s="521"/>
      <c r="D50" s="113" t="s">
        <v>259</v>
      </c>
      <c r="E50" s="530"/>
      <c r="F50" s="513"/>
      <c r="G50" s="36">
        <v>17616</v>
      </c>
      <c r="H50" s="37">
        <f>IF('Subcases Monthly'!$D$4="","",VLOOKUP('Subcases Monthly'!$D$4,'Timeliness Performance'!$A$4:$DQ$70,53,FALSE))</f>
        <v>0</v>
      </c>
      <c r="I50" s="37">
        <f>IF('Subcases Monthly'!$D$4="","",VLOOKUP('Subcases Monthly'!$D$4,'Timeliness Performance'!$A$4:$DQ$70,55,FALSE))</f>
        <v>0</v>
      </c>
      <c r="J50" s="38"/>
      <c r="K50" s="31">
        <f>SUM(G50:J50)</f>
        <v>17616</v>
      </c>
      <c r="L50" s="535"/>
      <c r="M50" s="538"/>
      <c r="N50" s="541"/>
      <c r="O50" s="538"/>
      <c r="P50" s="541"/>
      <c r="Q50" s="547"/>
      <c r="R50" s="544"/>
      <c r="S50" s="550"/>
    </row>
    <row r="51" spans="1:19" ht="17.25" thickTop="1" thickBot="1" x14ac:dyDescent="0.25">
      <c r="A51"/>
      <c r="B51" s="522"/>
      <c r="C51" s="523"/>
      <c r="D51" s="30" t="s">
        <v>236</v>
      </c>
      <c r="E51" s="531"/>
      <c r="F51" s="514"/>
      <c r="G51" s="32">
        <f>IF(G49=0,1,IFERROR(ROUND(G50/G49,4),0))</f>
        <v>0.97870000000000001</v>
      </c>
      <c r="H51" s="33">
        <f t="shared" ref="H51" si="49">IF(H49=0,1,IFERROR(ROUND(H50/H49,4),0))</f>
        <v>1</v>
      </c>
      <c r="I51" s="33">
        <f t="shared" ref="I51" si="50">IF(I49=0,1,IFERROR(ROUND(I50/I49,4),0))</f>
        <v>1</v>
      </c>
      <c r="J51" s="34">
        <f t="shared" ref="J51" si="51">IF(J49=0,1,IFERROR(ROUND(J50/J49,4),0))</f>
        <v>1</v>
      </c>
      <c r="K51" s="35">
        <f t="shared" ref="K51" si="52">IF(K49=0,1,IFERROR(ROUND(K50/K49,4),0))</f>
        <v>0.97870000000000001</v>
      </c>
      <c r="L51" s="536"/>
      <c r="M51" s="539"/>
      <c r="N51" s="542"/>
      <c r="O51" s="539"/>
      <c r="P51" s="542"/>
      <c r="Q51" s="548"/>
      <c r="R51" s="545"/>
      <c r="S51" s="551"/>
    </row>
    <row r="52" spans="1:19" x14ac:dyDescent="0.2">
      <c r="A52"/>
      <c r="B52" s="518" t="s">
        <v>400</v>
      </c>
      <c r="C52" s="519"/>
      <c r="D52" s="114" t="s">
        <v>243</v>
      </c>
      <c r="E52" s="529">
        <v>0.8</v>
      </c>
      <c r="F52" s="512" t="s">
        <v>256</v>
      </c>
      <c r="G52" s="39">
        <v>4426</v>
      </c>
      <c r="H52" s="40">
        <f>IF('Subcases Monthly'!$D$4="","",VLOOKUP('Subcases Monthly'!$D$4,'Timeliness Performance'!$A$4:$DQ$70,60,FALSE))</f>
        <v>0</v>
      </c>
      <c r="I52" s="40">
        <f>IF('Subcases Monthly'!$D$4="","",VLOOKUP('Subcases Monthly'!$D$4,'Timeliness Performance'!$A$4:$DQ$70,62,FALSE))</f>
        <v>0</v>
      </c>
      <c r="J52" s="41"/>
      <c r="K52" s="29">
        <f>SUM(G52:J52)</f>
        <v>4426</v>
      </c>
      <c r="L52" s="534"/>
      <c r="M52" s="537"/>
      <c r="N52" s="540"/>
      <c r="O52" s="537"/>
      <c r="P52" s="540"/>
      <c r="Q52" s="546"/>
      <c r="R52" s="543"/>
      <c r="S52" s="549"/>
    </row>
    <row r="53" spans="1:19" ht="16.5" thickBot="1" x14ac:dyDescent="0.25">
      <c r="A53"/>
      <c r="B53" s="520"/>
      <c r="C53" s="521"/>
      <c r="D53" s="113" t="s">
        <v>259</v>
      </c>
      <c r="E53" s="530"/>
      <c r="F53" s="513"/>
      <c r="G53" s="36">
        <v>4423</v>
      </c>
      <c r="H53" s="37">
        <f>IF('Subcases Monthly'!$D$4="","",VLOOKUP('Subcases Monthly'!$D$4,'Timeliness Performance'!$A$4:$DQ$70,61,FALSE))</f>
        <v>0</v>
      </c>
      <c r="I53" s="37">
        <f>IF('Subcases Monthly'!$D$4="","",VLOOKUP('Subcases Monthly'!$D$4,'Timeliness Performance'!$A$4:$DQ$70,63,FALSE))</f>
        <v>0</v>
      </c>
      <c r="J53" s="38"/>
      <c r="K53" s="31">
        <f>SUM(G53:J53)</f>
        <v>4423</v>
      </c>
      <c r="L53" s="535"/>
      <c r="M53" s="538"/>
      <c r="N53" s="541"/>
      <c r="O53" s="538"/>
      <c r="P53" s="541"/>
      <c r="Q53" s="547"/>
      <c r="R53" s="544"/>
      <c r="S53" s="550"/>
    </row>
    <row r="54" spans="1:19" ht="17.25" thickTop="1" thickBot="1" x14ac:dyDescent="0.25">
      <c r="A54"/>
      <c r="B54" s="522"/>
      <c r="C54" s="523"/>
      <c r="D54" s="30" t="s">
        <v>236</v>
      </c>
      <c r="E54" s="531"/>
      <c r="F54" s="514"/>
      <c r="G54" s="32">
        <f>IF(G52=0,1,IFERROR(ROUND(G53/G52,4),0))</f>
        <v>0.99929999999999997</v>
      </c>
      <c r="H54" s="33">
        <f t="shared" ref="H54" si="53">IF(H52=0,1,IFERROR(ROUND(H53/H52,4),0))</f>
        <v>1</v>
      </c>
      <c r="I54" s="33">
        <f t="shared" ref="I54" si="54">IF(I52=0,1,IFERROR(ROUND(I53/I52,4),0))</f>
        <v>1</v>
      </c>
      <c r="J54" s="34">
        <f t="shared" ref="J54" si="55">IF(J52=0,1,IFERROR(ROUND(J53/J52,4),0))</f>
        <v>1</v>
      </c>
      <c r="K54" s="35">
        <f t="shared" ref="K54" si="56">IF(K52=0,1,IFERROR(ROUND(K53/K52,4),0))</f>
        <v>0.99929999999999997</v>
      </c>
      <c r="L54" s="536"/>
      <c r="M54" s="539"/>
      <c r="N54" s="542"/>
      <c r="O54" s="539"/>
      <c r="P54" s="542"/>
      <c r="Q54" s="548"/>
      <c r="R54" s="545"/>
      <c r="S54" s="551"/>
    </row>
    <row r="55" spans="1:19" x14ac:dyDescent="0.2">
      <c r="A55"/>
      <c r="B55" s="518" t="s">
        <v>257</v>
      </c>
      <c r="C55" s="519"/>
      <c r="D55" s="114" t="s">
        <v>243</v>
      </c>
      <c r="E55" s="529">
        <v>0.8</v>
      </c>
      <c r="F55" s="512" t="s">
        <v>256</v>
      </c>
      <c r="G55" s="39">
        <v>9599</v>
      </c>
      <c r="H55" s="40">
        <f>IF('Subcases Monthly'!$D$4="","",VLOOKUP('Subcases Monthly'!$D$4,'Timeliness Performance'!$A$4:$DQ$70,68,FALSE))</f>
        <v>0</v>
      </c>
      <c r="I55" s="40">
        <f>IF('Subcases Monthly'!$D$4="","",VLOOKUP('Subcases Monthly'!$D$4,'Timeliness Performance'!$A$4:$DQ$70,70,FALSE))</f>
        <v>0</v>
      </c>
      <c r="J55" s="41"/>
      <c r="K55" s="29">
        <f>SUM(G55:J55)</f>
        <v>9599</v>
      </c>
      <c r="L55" s="534"/>
      <c r="M55" s="537"/>
      <c r="N55" s="540"/>
      <c r="O55" s="537"/>
      <c r="P55" s="540"/>
      <c r="Q55" s="546"/>
      <c r="R55" s="543"/>
      <c r="S55" s="549"/>
    </row>
    <row r="56" spans="1:19" ht="16.5" thickBot="1" x14ac:dyDescent="0.25">
      <c r="A56"/>
      <c r="B56" s="520"/>
      <c r="C56" s="521"/>
      <c r="D56" s="113" t="s">
        <v>259</v>
      </c>
      <c r="E56" s="530"/>
      <c r="F56" s="513"/>
      <c r="G56" s="36">
        <v>9087</v>
      </c>
      <c r="H56" s="37">
        <f>IF('Subcases Monthly'!$D$4="","",VLOOKUP('Subcases Monthly'!$D$4,'Timeliness Performance'!$A$4:$DQ$70,69,FALSE))</f>
        <v>0</v>
      </c>
      <c r="I56" s="37">
        <f>IF('Subcases Monthly'!$D$4="","",VLOOKUP('Subcases Monthly'!$D$4,'Timeliness Performance'!$A$4:$DQ$70,71,FALSE))</f>
        <v>0</v>
      </c>
      <c r="J56" s="38"/>
      <c r="K56" s="31">
        <f>SUM(G56:J56)</f>
        <v>9087</v>
      </c>
      <c r="L56" s="535"/>
      <c r="M56" s="538"/>
      <c r="N56" s="541"/>
      <c r="O56" s="538"/>
      <c r="P56" s="541"/>
      <c r="Q56" s="547"/>
      <c r="R56" s="544"/>
      <c r="S56" s="550"/>
    </row>
    <row r="57" spans="1:19" ht="17.25" thickTop="1" thickBot="1" x14ac:dyDescent="0.25">
      <c r="A57"/>
      <c r="B57" s="522"/>
      <c r="C57" s="523"/>
      <c r="D57" s="30" t="s">
        <v>236</v>
      </c>
      <c r="E57" s="531"/>
      <c r="F57" s="514"/>
      <c r="G57" s="32">
        <f>IF(G55=0,1,IFERROR(ROUND(G56/G55,4),0))</f>
        <v>0.94669999999999999</v>
      </c>
      <c r="H57" s="33">
        <f t="shared" ref="H57" si="57">IF(H55=0,1,IFERROR(ROUND(H56/H55,4),0))</f>
        <v>1</v>
      </c>
      <c r="I57" s="33">
        <f t="shared" ref="I57" si="58">IF(I55=0,1,IFERROR(ROUND(I56/I55,4),0))</f>
        <v>1</v>
      </c>
      <c r="J57" s="34">
        <f t="shared" ref="J57" si="59">IF(J55=0,1,IFERROR(ROUND(J56/J55,4),0))</f>
        <v>1</v>
      </c>
      <c r="K57" s="35">
        <f t="shared" ref="K57" si="60">IF(K55=0,1,IFERROR(ROUND(K56/K55,4),0))</f>
        <v>0.94669999999999999</v>
      </c>
      <c r="L57" s="536"/>
      <c r="M57" s="539"/>
      <c r="N57" s="542"/>
      <c r="O57" s="539"/>
      <c r="P57" s="542"/>
      <c r="Q57" s="548"/>
      <c r="R57" s="545"/>
      <c r="S57" s="551"/>
    </row>
    <row r="58" spans="1:19" x14ac:dyDescent="0.2">
      <c r="A58"/>
      <c r="B58" s="518" t="s">
        <v>260</v>
      </c>
      <c r="C58" s="519"/>
      <c r="D58" s="114" t="s">
        <v>243</v>
      </c>
      <c r="E58" s="529">
        <v>0.8</v>
      </c>
      <c r="F58" s="512" t="s">
        <v>256</v>
      </c>
      <c r="G58" s="39">
        <v>38042</v>
      </c>
      <c r="H58" s="40">
        <f>IF('Subcases Monthly'!$D$4="","",VLOOKUP('Subcases Monthly'!$D$4,'Timeliness Performance'!$A$4:$DQ$70,76,FALSE))</f>
        <v>0</v>
      </c>
      <c r="I58" s="40">
        <f>IF('Subcases Monthly'!$D$4="","",VLOOKUP('Subcases Monthly'!$D$4,'Timeliness Performance'!$A$4:$DQ$70,78,FALSE))</f>
        <v>0</v>
      </c>
      <c r="J58" s="41"/>
      <c r="K58" s="29">
        <f>SUM(G58:J58)</f>
        <v>38042</v>
      </c>
      <c r="L58" s="534"/>
      <c r="M58" s="537"/>
      <c r="N58" s="540"/>
      <c r="O58" s="537"/>
      <c r="P58" s="540"/>
      <c r="Q58" s="546"/>
      <c r="R58" s="543"/>
      <c r="S58" s="549"/>
    </row>
    <row r="59" spans="1:19" ht="16.5" thickBot="1" x14ac:dyDescent="0.25">
      <c r="A59"/>
      <c r="B59" s="520"/>
      <c r="C59" s="521"/>
      <c r="D59" s="113" t="s">
        <v>259</v>
      </c>
      <c r="E59" s="530"/>
      <c r="F59" s="513"/>
      <c r="G59" s="36">
        <v>35707</v>
      </c>
      <c r="H59" s="37">
        <f>IF('Subcases Monthly'!$D$4="","",VLOOKUP('Subcases Monthly'!$D$4,'Timeliness Performance'!$A$4:$DQ$70,77,FALSE))</f>
        <v>0</v>
      </c>
      <c r="I59" s="37">
        <f>IF('Subcases Monthly'!$D$4="","",VLOOKUP('Subcases Monthly'!$D$4,'Timeliness Performance'!$A$4:$DQ$70,79,FALSE))</f>
        <v>0</v>
      </c>
      <c r="J59" s="38"/>
      <c r="K59" s="31">
        <f>SUM(G59:J59)</f>
        <v>35707</v>
      </c>
      <c r="L59" s="535"/>
      <c r="M59" s="538"/>
      <c r="N59" s="541"/>
      <c r="O59" s="538"/>
      <c r="P59" s="541"/>
      <c r="Q59" s="547"/>
      <c r="R59" s="544"/>
      <c r="S59" s="550"/>
    </row>
    <row r="60" spans="1:19" ht="17.25" thickTop="1" thickBot="1" x14ac:dyDescent="0.25">
      <c r="A60"/>
      <c r="B60" s="522"/>
      <c r="C60" s="523"/>
      <c r="D60" s="30" t="s">
        <v>236</v>
      </c>
      <c r="E60" s="531"/>
      <c r="F60" s="514"/>
      <c r="G60" s="32">
        <f>IF(G58=0,1,IFERROR(ROUND(G59/G58,4),0))</f>
        <v>0.93859999999999999</v>
      </c>
      <c r="H60" s="33">
        <f t="shared" ref="H60" si="61">IF(H58=0,1,IFERROR(ROUND(H59/H58,4),0))</f>
        <v>1</v>
      </c>
      <c r="I60" s="33">
        <f t="shared" ref="I60" si="62">IF(I58=0,1,IFERROR(ROUND(I59/I58,4),0))</f>
        <v>1</v>
      </c>
      <c r="J60" s="34">
        <f t="shared" ref="J60" si="63">IF(J58=0,1,IFERROR(ROUND(J59/J58,4),0))</f>
        <v>1</v>
      </c>
      <c r="K60" s="35">
        <f t="shared" ref="K60" si="64">IF(K58=0,1,IFERROR(ROUND(K59/K58,4),0))</f>
        <v>0.93859999999999999</v>
      </c>
      <c r="L60" s="536"/>
      <c r="M60" s="539"/>
      <c r="N60" s="542"/>
      <c r="O60" s="539"/>
      <c r="P60" s="542"/>
      <c r="Q60" s="548"/>
      <c r="R60" s="545"/>
      <c r="S60" s="551"/>
    </row>
    <row r="61" spans="1:19" x14ac:dyDescent="0.2">
      <c r="A61"/>
      <c r="B61" s="518" t="s">
        <v>261</v>
      </c>
      <c r="C61" s="519"/>
      <c r="D61" s="114" t="s">
        <v>243</v>
      </c>
      <c r="E61" s="529">
        <v>0.8</v>
      </c>
      <c r="F61" s="512" t="s">
        <v>256</v>
      </c>
      <c r="G61" s="39">
        <v>36059</v>
      </c>
      <c r="H61" s="40">
        <f>IF('Subcases Monthly'!$D$4="","",VLOOKUP('Subcases Monthly'!$D$4,'Timeliness Performance'!$A$4:$DQ$70,84,FALSE))</f>
        <v>0</v>
      </c>
      <c r="I61" s="40">
        <f>IF('Subcases Monthly'!$D$4="","",VLOOKUP('Subcases Monthly'!$D$4,'Timeliness Performance'!$A$4:$DQ$70,86,FALSE))</f>
        <v>0</v>
      </c>
      <c r="J61" s="41"/>
      <c r="K61" s="29">
        <f>SUM(G61:J61)</f>
        <v>36059</v>
      </c>
      <c r="L61" s="534"/>
      <c r="M61" s="537"/>
      <c r="N61" s="540"/>
      <c r="O61" s="537"/>
      <c r="P61" s="540"/>
      <c r="Q61" s="546"/>
      <c r="R61" s="543"/>
      <c r="S61" s="549"/>
    </row>
    <row r="62" spans="1:19" ht="16.5" thickBot="1" x14ac:dyDescent="0.25">
      <c r="A62"/>
      <c r="B62" s="520"/>
      <c r="C62" s="521"/>
      <c r="D62" s="113" t="s">
        <v>259</v>
      </c>
      <c r="E62" s="530"/>
      <c r="F62" s="513"/>
      <c r="G62" s="36">
        <v>31004</v>
      </c>
      <c r="H62" s="37">
        <f>IF('Subcases Monthly'!$D$4="","",VLOOKUP('Subcases Monthly'!$D$4,'Timeliness Performance'!$A$4:$DQ$70,85,FALSE))</f>
        <v>0</v>
      </c>
      <c r="I62" s="37">
        <f>IF('Subcases Monthly'!$D$4="","",VLOOKUP('Subcases Monthly'!$D$4,'Timeliness Performance'!$A$4:$DQ$70,87,FALSE))</f>
        <v>0</v>
      </c>
      <c r="J62" s="38"/>
      <c r="K62" s="31">
        <f>SUM(G62:J62)</f>
        <v>31004</v>
      </c>
      <c r="L62" s="535"/>
      <c r="M62" s="538"/>
      <c r="N62" s="541"/>
      <c r="O62" s="538"/>
      <c r="P62" s="541"/>
      <c r="Q62" s="547"/>
      <c r="R62" s="544"/>
      <c r="S62" s="550"/>
    </row>
    <row r="63" spans="1:19" ht="17.25" thickTop="1" thickBot="1" x14ac:dyDescent="0.25">
      <c r="A63"/>
      <c r="B63" s="522"/>
      <c r="C63" s="523"/>
      <c r="D63" s="30" t="s">
        <v>236</v>
      </c>
      <c r="E63" s="531"/>
      <c r="F63" s="514"/>
      <c r="G63" s="32">
        <f>IF(G61=0,1,IFERROR(ROUND(G62/G61,4),0))</f>
        <v>0.85980000000000001</v>
      </c>
      <c r="H63" s="33">
        <f t="shared" ref="H63" si="65">IF(H61=0,1,IFERROR(ROUND(H62/H61,4),0))</f>
        <v>1</v>
      </c>
      <c r="I63" s="33">
        <f t="shared" ref="I63" si="66">IF(I61=0,1,IFERROR(ROUND(I62/I61,4),0))</f>
        <v>1</v>
      </c>
      <c r="J63" s="34">
        <f t="shared" ref="J63" si="67">IF(J61=0,1,IFERROR(ROUND(J62/J61,4),0))</f>
        <v>1</v>
      </c>
      <c r="K63" s="35">
        <f t="shared" ref="K63" si="68">IF(K61=0,1,IFERROR(ROUND(K62/K61,4),0))</f>
        <v>0.85980000000000001</v>
      </c>
      <c r="L63" s="536"/>
      <c r="M63" s="539"/>
      <c r="N63" s="542"/>
      <c r="O63" s="539"/>
      <c r="P63" s="542"/>
      <c r="Q63" s="548"/>
      <c r="R63" s="545"/>
      <c r="S63" s="551"/>
    </row>
    <row r="64" spans="1:19" x14ac:dyDescent="0.2">
      <c r="A64"/>
      <c r="B64" s="518" t="s">
        <v>262</v>
      </c>
      <c r="C64" s="519"/>
      <c r="D64" s="114" t="s">
        <v>243</v>
      </c>
      <c r="E64" s="529">
        <v>0.8</v>
      </c>
      <c r="F64" s="512" t="s">
        <v>256</v>
      </c>
      <c r="G64" s="39">
        <v>15306</v>
      </c>
      <c r="H64" s="40">
        <f>IF('Subcases Monthly'!$D$4="","",VLOOKUP('Subcases Monthly'!$D$4,'Timeliness Performance'!$A$4:$DQ$70,92,FALSE))</f>
        <v>0</v>
      </c>
      <c r="I64" s="40">
        <f>IF('Subcases Monthly'!$D$4="","",VLOOKUP('Subcases Monthly'!$D$4,'Timeliness Performance'!$A$4:$DQ$70,94,FALSE))</f>
        <v>0</v>
      </c>
      <c r="J64" s="41"/>
      <c r="K64" s="29">
        <f>SUM(G64:J64)</f>
        <v>15306</v>
      </c>
      <c r="L64" s="534"/>
      <c r="M64" s="537"/>
      <c r="N64" s="540"/>
      <c r="O64" s="537"/>
      <c r="P64" s="540"/>
      <c r="Q64" s="546"/>
      <c r="R64" s="543"/>
      <c r="S64" s="549"/>
    </row>
    <row r="65" spans="1:19" ht="16.5" thickBot="1" x14ac:dyDescent="0.25">
      <c r="A65"/>
      <c r="B65" s="520"/>
      <c r="C65" s="521"/>
      <c r="D65" s="113" t="s">
        <v>259</v>
      </c>
      <c r="E65" s="530"/>
      <c r="F65" s="513"/>
      <c r="G65" s="36">
        <v>13736</v>
      </c>
      <c r="H65" s="37">
        <f>IF('Subcases Monthly'!$D$4="","",VLOOKUP('Subcases Monthly'!$D$4,'Timeliness Performance'!$A$4:$DQ$70,93,FALSE))</f>
        <v>0</v>
      </c>
      <c r="I65" s="37">
        <f>IF('Subcases Monthly'!$D$4="","",VLOOKUP('Subcases Monthly'!$D$4,'Timeliness Performance'!$A$4:$DQ$70,95,FALSE))</f>
        <v>0</v>
      </c>
      <c r="J65" s="38"/>
      <c r="K65" s="31">
        <f>SUM(G65:J65)</f>
        <v>13736</v>
      </c>
      <c r="L65" s="535"/>
      <c r="M65" s="538"/>
      <c r="N65" s="541"/>
      <c r="O65" s="538"/>
      <c r="P65" s="541"/>
      <c r="Q65" s="547"/>
      <c r="R65" s="544"/>
      <c r="S65" s="550"/>
    </row>
    <row r="66" spans="1:19" ht="17.25" thickTop="1" thickBot="1" x14ac:dyDescent="0.25">
      <c r="A66"/>
      <c r="B66" s="522"/>
      <c r="C66" s="523"/>
      <c r="D66" s="30" t="s">
        <v>236</v>
      </c>
      <c r="E66" s="531"/>
      <c r="F66" s="514"/>
      <c r="G66" s="32">
        <f>IF(G64=0,1,IFERROR(ROUND(G65/G64,4),0))</f>
        <v>0.89739999999999998</v>
      </c>
      <c r="H66" s="33">
        <f t="shared" ref="H66" si="69">IF(H64=0,1,IFERROR(ROUND(H65/H64,4),0))</f>
        <v>1</v>
      </c>
      <c r="I66" s="33">
        <f t="shared" ref="I66" si="70">IF(I64=0,1,IFERROR(ROUND(I65/I64,4),0))</f>
        <v>1</v>
      </c>
      <c r="J66" s="34">
        <f t="shared" ref="J66" si="71">IF(J64=0,1,IFERROR(ROUND(J65/J64,4),0))</f>
        <v>1</v>
      </c>
      <c r="K66" s="35">
        <f t="shared" ref="K66" si="72">IF(K64=0,1,IFERROR(ROUND(K65/K64,4),0))</f>
        <v>0.89739999999999998</v>
      </c>
      <c r="L66" s="536"/>
      <c r="M66" s="539"/>
      <c r="N66" s="542"/>
      <c r="O66" s="539"/>
      <c r="P66" s="542"/>
      <c r="Q66" s="548"/>
      <c r="R66" s="545"/>
      <c r="S66" s="551"/>
    </row>
    <row r="67" spans="1:19" x14ac:dyDescent="0.2">
      <c r="A67"/>
      <c r="B67" s="518" t="s">
        <v>263</v>
      </c>
      <c r="C67" s="519"/>
      <c r="D67" s="114" t="s">
        <v>243</v>
      </c>
      <c r="E67" s="529">
        <v>0.8</v>
      </c>
      <c r="F67" s="512" t="s">
        <v>256</v>
      </c>
      <c r="G67" s="39">
        <v>23442</v>
      </c>
      <c r="H67" s="40">
        <f>IF('Subcases Monthly'!$D$4="","",VLOOKUP('Subcases Monthly'!$D$4,'Timeliness Performance'!$A$4:$DQ$70,100,FALSE))</f>
        <v>0</v>
      </c>
      <c r="I67" s="40">
        <f>IF('Subcases Monthly'!$D$4="","",VLOOKUP('Subcases Monthly'!$D$4,'Timeliness Performance'!$A$4:$DQ$70,102,FALSE))</f>
        <v>0</v>
      </c>
      <c r="J67" s="41"/>
      <c r="K67" s="29">
        <f>SUM(G67:J67)</f>
        <v>23442</v>
      </c>
      <c r="L67" s="534"/>
      <c r="M67" s="537"/>
      <c r="N67" s="540"/>
      <c r="O67" s="537"/>
      <c r="P67" s="540"/>
      <c r="Q67" s="546"/>
      <c r="R67" s="543"/>
      <c r="S67" s="549"/>
    </row>
    <row r="68" spans="1:19" ht="16.5" thickBot="1" x14ac:dyDescent="0.25">
      <c r="A68"/>
      <c r="B68" s="520"/>
      <c r="C68" s="521"/>
      <c r="D68" s="113" t="s">
        <v>259</v>
      </c>
      <c r="E68" s="530"/>
      <c r="F68" s="513"/>
      <c r="G68" s="36">
        <v>22624</v>
      </c>
      <c r="H68" s="37">
        <f>IF('Subcases Monthly'!$D$4="","",VLOOKUP('Subcases Monthly'!$D$4,'Timeliness Performance'!$A$4:$DQ$70,101,FALSE))</f>
        <v>0</v>
      </c>
      <c r="I68" s="37">
        <f>IF('Subcases Monthly'!$D$4="","",VLOOKUP('Subcases Monthly'!$D$4,'Timeliness Performance'!$A$4:$DQ$70,103,FALSE))</f>
        <v>0</v>
      </c>
      <c r="J68" s="38"/>
      <c r="K68" s="31">
        <f>SUM(G68:J68)</f>
        <v>22624</v>
      </c>
      <c r="L68" s="535"/>
      <c r="M68" s="538"/>
      <c r="N68" s="541"/>
      <c r="O68" s="538"/>
      <c r="P68" s="541"/>
      <c r="Q68" s="547"/>
      <c r="R68" s="544"/>
      <c r="S68" s="550"/>
    </row>
    <row r="69" spans="1:19" ht="17.25" thickTop="1" thickBot="1" x14ac:dyDescent="0.25">
      <c r="A69"/>
      <c r="B69" s="522"/>
      <c r="C69" s="523"/>
      <c r="D69" s="30" t="s">
        <v>236</v>
      </c>
      <c r="E69" s="531"/>
      <c r="F69" s="514"/>
      <c r="G69" s="32">
        <f>IF(G67=0,1,IFERROR(ROUND(G68/G67,4),0))</f>
        <v>0.96509999999999996</v>
      </c>
      <c r="H69" s="33">
        <f t="shared" ref="H69" si="73">IF(H67=0,1,IFERROR(ROUND(H68/H67,4),0))</f>
        <v>1</v>
      </c>
      <c r="I69" s="33">
        <f t="shared" ref="I69" si="74">IF(I67=0,1,IFERROR(ROUND(I68/I67,4),0))</f>
        <v>1</v>
      </c>
      <c r="J69" s="34">
        <f t="shared" ref="J69" si="75">IF(J67=0,1,IFERROR(ROUND(J68/J67,4),0))</f>
        <v>1</v>
      </c>
      <c r="K69" s="35">
        <f t="shared" ref="K69" si="76">IF(K67=0,1,IFERROR(ROUND(K68/K67,4),0))</f>
        <v>0.96509999999999996</v>
      </c>
      <c r="L69" s="536"/>
      <c r="M69" s="539"/>
      <c r="N69" s="542"/>
      <c r="O69" s="539"/>
      <c r="P69" s="542"/>
      <c r="Q69" s="548"/>
      <c r="R69" s="545"/>
      <c r="S69" s="551"/>
    </row>
    <row r="70" spans="1:19" x14ac:dyDescent="0.2">
      <c r="A70"/>
      <c r="B70" s="518" t="s">
        <v>264</v>
      </c>
      <c r="C70" s="519"/>
      <c r="D70" s="114" t="s">
        <v>243</v>
      </c>
      <c r="E70" s="529">
        <v>0.8</v>
      </c>
      <c r="F70" s="512" t="s">
        <v>256</v>
      </c>
      <c r="G70" s="39">
        <v>496</v>
      </c>
      <c r="H70" s="40">
        <f>IF('Subcases Monthly'!$D$4="","",VLOOKUP('Subcases Monthly'!$D$4,'Timeliness Performance'!$A$4:$DQ$70,108,FALSE))</f>
        <v>0</v>
      </c>
      <c r="I70" s="40">
        <f>IF('Subcases Monthly'!$D$4="","",VLOOKUP('Subcases Monthly'!$D$4,'Timeliness Performance'!$A$4:$DQ$70,110,FALSE))</f>
        <v>0</v>
      </c>
      <c r="J70" s="41"/>
      <c r="K70" s="29">
        <f>SUM(G70:J70)</f>
        <v>496</v>
      </c>
      <c r="L70" s="534"/>
      <c r="M70" s="537"/>
      <c r="N70" s="540"/>
      <c r="O70" s="537"/>
      <c r="P70" s="540"/>
      <c r="Q70" s="546"/>
      <c r="R70" s="543"/>
      <c r="S70" s="549"/>
    </row>
    <row r="71" spans="1:19" ht="16.5" thickBot="1" x14ac:dyDescent="0.25">
      <c r="A71"/>
      <c r="B71" s="520"/>
      <c r="C71" s="521"/>
      <c r="D71" s="113" t="s">
        <v>259</v>
      </c>
      <c r="E71" s="530"/>
      <c r="F71" s="513"/>
      <c r="G71" s="36">
        <v>479</v>
      </c>
      <c r="H71" s="37">
        <f>IF('Subcases Monthly'!$D$4="","",VLOOKUP('Subcases Monthly'!$D$4,'Timeliness Performance'!$A$4:$DQ$70,109,FALSE))</f>
        <v>0</v>
      </c>
      <c r="I71" s="37">
        <f>IF('Subcases Monthly'!$D$4="","",VLOOKUP('Subcases Monthly'!$D$4,'Timeliness Performance'!$A$4:$DQ$70,111,FALSE))</f>
        <v>0</v>
      </c>
      <c r="J71" s="38"/>
      <c r="K71" s="31">
        <f>SUM(G71:J71)</f>
        <v>479</v>
      </c>
      <c r="L71" s="535"/>
      <c r="M71" s="538"/>
      <c r="N71" s="541"/>
      <c r="O71" s="538"/>
      <c r="P71" s="541"/>
      <c r="Q71" s="547"/>
      <c r="R71" s="544"/>
      <c r="S71" s="550"/>
    </row>
    <row r="72" spans="1:19" ht="17.25" thickTop="1" thickBot="1" x14ac:dyDescent="0.25">
      <c r="A72"/>
      <c r="B72" s="522"/>
      <c r="C72" s="523"/>
      <c r="D72" s="30" t="s">
        <v>236</v>
      </c>
      <c r="E72" s="531"/>
      <c r="F72" s="514"/>
      <c r="G72" s="32">
        <f>IF(G70=0,1,IFERROR(ROUND(G71/G70,4),0))</f>
        <v>0.9657</v>
      </c>
      <c r="H72" s="33">
        <f t="shared" ref="H72" si="77">IF(H70=0,1,IFERROR(ROUND(H71/H70,4),0))</f>
        <v>1</v>
      </c>
      <c r="I72" s="33">
        <f t="shared" ref="I72" si="78">IF(I70=0,1,IFERROR(ROUND(I71/I70,4),0))</f>
        <v>1</v>
      </c>
      <c r="J72" s="34">
        <f t="shared" ref="J72" si="79">IF(J70=0,1,IFERROR(ROUND(J71/J70,4),0))</f>
        <v>1</v>
      </c>
      <c r="K72" s="35">
        <f t="shared" ref="K72" si="80">IF(K70=0,1,IFERROR(ROUND(K71/K70,4),0))</f>
        <v>0.9657</v>
      </c>
      <c r="L72" s="536"/>
      <c r="M72" s="539"/>
      <c r="N72" s="542"/>
      <c r="O72" s="539"/>
      <c r="P72" s="542"/>
      <c r="Q72" s="548"/>
      <c r="R72" s="545"/>
      <c r="S72" s="551"/>
    </row>
    <row r="73" spans="1:19" x14ac:dyDescent="0.2">
      <c r="A73"/>
      <c r="B73" s="518" t="s">
        <v>265</v>
      </c>
      <c r="C73" s="519"/>
      <c r="D73" s="114" t="s">
        <v>243</v>
      </c>
      <c r="E73" s="529">
        <v>0.8</v>
      </c>
      <c r="F73" s="512" t="s">
        <v>266</v>
      </c>
      <c r="G73" s="39">
        <v>23177</v>
      </c>
      <c r="H73" s="40">
        <f>IF('Subcases Monthly'!$D$4="","",VLOOKUP('Subcases Monthly'!$D$4,'Timeliness Performance'!$A$4:$DQ$70,116,FALSE))</f>
        <v>0</v>
      </c>
      <c r="I73" s="40">
        <f>IF('Subcases Monthly'!$D$4="","",VLOOKUP('Subcases Monthly'!$D$4,'Timeliness Performance'!$A$4:$DQ$70,118,FALSE))</f>
        <v>0</v>
      </c>
      <c r="J73" s="41"/>
      <c r="K73" s="29">
        <f>SUM(G73:J73)</f>
        <v>23177</v>
      </c>
      <c r="L73" s="534"/>
      <c r="M73" s="537"/>
      <c r="N73" s="540"/>
      <c r="O73" s="537"/>
      <c r="P73" s="540"/>
      <c r="Q73" s="546"/>
      <c r="R73" s="543"/>
      <c r="S73" s="549"/>
    </row>
    <row r="74" spans="1:19" ht="16.5" thickBot="1" x14ac:dyDescent="0.25">
      <c r="A74"/>
      <c r="B74" s="520"/>
      <c r="C74" s="521"/>
      <c r="D74" s="113" t="s">
        <v>267</v>
      </c>
      <c r="E74" s="530"/>
      <c r="F74" s="513"/>
      <c r="G74" s="36">
        <v>22737</v>
      </c>
      <c r="H74" s="37">
        <f>IF('Subcases Monthly'!$D$4="","",VLOOKUP('Subcases Monthly'!$D$4,'Timeliness Performance'!$A$4:$DQ$70,117,FALSE))</f>
        <v>0</v>
      </c>
      <c r="I74" s="37">
        <f>IF('Subcases Monthly'!$D$4="","",VLOOKUP('Subcases Monthly'!$D$4,'Timeliness Performance'!$A$4:$DQ$70,119,FALSE))</f>
        <v>0</v>
      </c>
      <c r="J74" s="38"/>
      <c r="K74" s="31">
        <f>SUM(G74:J74)</f>
        <v>22737</v>
      </c>
      <c r="L74" s="535"/>
      <c r="M74" s="538"/>
      <c r="N74" s="541"/>
      <c r="O74" s="538"/>
      <c r="P74" s="541"/>
      <c r="Q74" s="547"/>
      <c r="R74" s="544"/>
      <c r="S74" s="550"/>
    </row>
    <row r="75" spans="1:19" ht="17.25" thickTop="1" thickBot="1" x14ac:dyDescent="0.25">
      <c r="A75"/>
      <c r="B75" s="522"/>
      <c r="C75" s="523"/>
      <c r="D75" s="30" t="s">
        <v>236</v>
      </c>
      <c r="E75" s="531"/>
      <c r="F75" s="514"/>
      <c r="G75" s="32">
        <f>IF(G73=0,1,IFERROR(ROUND(G74/G73,4),0))</f>
        <v>0.98099999999999998</v>
      </c>
      <c r="H75" s="33">
        <f t="shared" ref="H75" si="81">IF(H73=0,1,IFERROR(ROUND(H74/H73,4),0))</f>
        <v>1</v>
      </c>
      <c r="I75" s="33">
        <f t="shared" ref="I75" si="82">IF(I73=0,1,IFERROR(ROUND(I74/I73,4),0))</f>
        <v>1</v>
      </c>
      <c r="J75" s="34">
        <f t="shared" ref="J75" si="83">IF(J73=0,1,IFERROR(ROUND(J74/J73,4),0))</f>
        <v>1</v>
      </c>
      <c r="K75" s="35">
        <f t="shared" ref="K75" si="84">IF(K73=0,1,IFERROR(ROUND(K74/K73,4),0))</f>
        <v>0.98099999999999998</v>
      </c>
      <c r="L75" s="536"/>
      <c r="M75" s="539"/>
      <c r="N75" s="542"/>
      <c r="O75" s="539"/>
      <c r="P75" s="542"/>
      <c r="Q75" s="548"/>
      <c r="R75" s="554"/>
      <c r="S75" s="55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6" t="s">
        <v>1906</v>
      </c>
      <c r="B1" s="476"/>
      <c r="C1" s="476"/>
      <c r="D1" s="476"/>
      <c r="E1" s="476"/>
      <c r="F1" s="476"/>
    </row>
    <row r="2" spans="1:19" ht="24" customHeight="1" x14ac:dyDescent="0.2">
      <c r="A2" s="476" t="str">
        <f>'Subcases Monthly'!A2</f>
        <v>County Fiscal Year 2024-2025</v>
      </c>
      <c r="B2" s="476"/>
      <c r="C2" s="476"/>
      <c r="D2" s="476"/>
    </row>
    <row r="3" spans="1:19" ht="24" customHeight="1" x14ac:dyDescent="0.2">
      <c r="N3"/>
      <c r="O3"/>
    </row>
    <row r="4" spans="1:19" ht="24" customHeight="1" x14ac:dyDescent="0.2">
      <c r="A4" s="6"/>
      <c r="C4" s="21" t="s">
        <v>2</v>
      </c>
      <c r="D4" s="499" t="str">
        <f>IF('Subcases Monthly'!D4="","",'Subcases Monthly'!D4)</f>
        <v>Brevard</v>
      </c>
      <c r="E4" s="499"/>
      <c r="F4" s="6"/>
      <c r="G4" s="21" t="s">
        <v>226</v>
      </c>
      <c r="H4" s="499" t="str">
        <f>IF('Subcases Monthly'!H4="","",'Subcases Monthly'!H4)</f>
        <v>November</v>
      </c>
      <c r="I4" s="499"/>
      <c r="K4" s="21" t="s">
        <v>3</v>
      </c>
      <c r="L4" s="91">
        <f>IF('Subcases Monthly'!L4="","",'Subcases Monthly'!L4)</f>
        <v>1</v>
      </c>
      <c r="N4"/>
      <c r="O4"/>
      <c r="Q4" s="484" t="str">
        <f>'Subcases Monthly'!Q4</f>
        <v>CCOC Form Version 1
Created: 11/11/2024</v>
      </c>
      <c r="R4" s="484"/>
    </row>
    <row r="5" spans="1:19" ht="24" customHeight="1" x14ac:dyDescent="0.3">
      <c r="A5" s="6"/>
      <c r="C5" s="21" t="s">
        <v>73</v>
      </c>
      <c r="D5" s="500" t="str">
        <f>IF('Subcases Monthly'!D5="","",'Subcases Monthly'!D5)</f>
        <v xml:space="preserve">Carol Vail </v>
      </c>
      <c r="E5" s="500"/>
      <c r="F5" s="6"/>
      <c r="N5" s="7"/>
      <c r="Q5" s="484"/>
      <c r="R5" s="484"/>
    </row>
    <row r="6" spans="1:19" ht="24" customHeight="1" x14ac:dyDescent="0.3">
      <c r="A6" s="6"/>
      <c r="C6" s="21" t="s">
        <v>84</v>
      </c>
      <c r="D6" s="499" t="str">
        <f>IF('Subcases Monthly'!D6="","",'Subcases Monthly'!D6)</f>
        <v>carol.vail@brevardclerk.us</v>
      </c>
      <c r="E6" s="499"/>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0" t="s">
        <v>376</v>
      </c>
      <c r="F9" s="481"/>
      <c r="G9" s="481"/>
      <c r="H9" s="481"/>
      <c r="I9" s="481"/>
      <c r="J9" s="481"/>
      <c r="K9" s="481"/>
      <c r="L9" s="481"/>
      <c r="M9" s="481"/>
      <c r="N9" s="481"/>
      <c r="O9" s="481"/>
      <c r="P9" s="482"/>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4" t="str">
        <f>'Subcases Monthly'!C11:D11</f>
        <v>Felony Cases (SRS)</v>
      </c>
      <c r="D11" s="475"/>
      <c r="E11" s="224">
        <f>IF('Subcases Monthly'!E11="","",('Subcases Monthly'!E11*'Subcases Weighted Total (Auto)'!$R11))</f>
        <v>4000</v>
      </c>
      <c r="F11" s="225">
        <f>IF('Subcases Monthly'!F11="","",('Subcases Monthly'!F11*'Subcases Weighted Total (Auto)'!$R11))</f>
        <v>4224</v>
      </c>
      <c r="G11" s="225">
        <f>IF('Subcases Monthly'!G11="","",('Subcases Monthly'!G11*'Subcases Weighted Total (Auto)'!$R11))</f>
        <v>0</v>
      </c>
      <c r="H11" s="225">
        <f>IF('Subcases Monthly'!H11="","",('Subcases Monthly'!H11*'Subcases Weighted Total (Auto)'!$R11))</f>
        <v>0</v>
      </c>
      <c r="I11" s="225">
        <f>IF('Subcases Monthly'!I11="","",('Subcases Monthly'!I11*'Subcases Weighted Total (Auto)'!$R11))</f>
        <v>0</v>
      </c>
      <c r="J11" s="225">
        <f>IF('Subcases Monthly'!J11="","",('Subcases Monthly'!J11*'Subcases Weighted Total (Auto)'!$R11))</f>
        <v>0</v>
      </c>
      <c r="K11" s="225">
        <f>IF('Subcases Monthly'!K11="","",('Subcases Monthly'!K11*'Subcases Weighted Total (Auto)'!$R11))</f>
        <v>0</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8224</v>
      </c>
      <c r="R11" s="229">
        <f>LookupData!$A$90</f>
        <v>8</v>
      </c>
      <c r="S11" s="4"/>
    </row>
    <row r="12" spans="1:19" ht="20.100000000000001" customHeight="1" x14ac:dyDescent="0.2">
      <c r="B12" s="190"/>
      <c r="C12" s="461" t="str">
        <f>'Subcases Monthly'!C12:D12</f>
        <v>Appeals (AP cases) filed in Circuit Court (SRS)</v>
      </c>
      <c r="D12" s="462"/>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0</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0</v>
      </c>
      <c r="R12" s="229">
        <f>LookupData!$A$91</f>
        <v>4</v>
      </c>
      <c r="S12" s="4"/>
    </row>
    <row r="13" spans="1:19" ht="20.100000000000001" customHeight="1" x14ac:dyDescent="0.2">
      <c r="B13" s="190"/>
      <c r="C13" s="461" t="str">
        <f>'Subcases Monthly'!C13:D13</f>
        <v>Out of State Fugitive Warrants (Non-SRS)</v>
      </c>
      <c r="D13" s="462"/>
      <c r="E13" s="224">
        <f>IF('Subcases Monthly'!E13="","",('Subcases Monthly'!E13*'Subcases Weighted Total (Auto)'!$R13))</f>
        <v>75</v>
      </c>
      <c r="F13" s="225">
        <f>IF('Subcases Monthly'!F13="","",('Subcases Monthly'!F13*'Subcases Weighted Total (Auto)'!$R13))</f>
        <v>63</v>
      </c>
      <c r="G13" s="225">
        <f>IF('Subcases Monthly'!G13="","",('Subcases Monthly'!G13*'Subcases Weighted Total (Auto)'!$R13))</f>
        <v>0</v>
      </c>
      <c r="H13" s="225">
        <f>IF('Subcases Monthly'!H13="","",('Subcases Monthly'!H13*'Subcases Weighted Total (Auto)'!$R13))</f>
        <v>0</v>
      </c>
      <c r="I13" s="225">
        <f>IF('Subcases Monthly'!I13="","",('Subcases Monthly'!I13*'Subcases Weighted Total (Auto)'!$R13))</f>
        <v>0</v>
      </c>
      <c r="J13" s="225">
        <f>IF('Subcases Monthly'!J13="","",('Subcases Monthly'!J13*'Subcases Weighted Total (Auto)'!$R13))</f>
        <v>0</v>
      </c>
      <c r="K13" s="225">
        <f>IF('Subcases Monthly'!K13="","",('Subcases Monthly'!K13*'Subcases Weighted Total (Auto)'!$R13))</f>
        <v>0</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138</v>
      </c>
      <c r="R13" s="229">
        <f>LookupData!$A$92</f>
        <v>3</v>
      </c>
      <c r="S13" s="4"/>
    </row>
    <row r="14" spans="1:19" ht="20.100000000000001" customHeight="1" thickBot="1" x14ac:dyDescent="0.25">
      <c r="B14" s="199"/>
      <c r="C14" s="469" t="str">
        <f>'Subcases Monthly'!C14:D14</f>
        <v>Cases unable to be categorized</v>
      </c>
      <c r="D14" s="470"/>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1" t="str">
        <f>'Subcases Monthly'!C15:D15</f>
        <v xml:space="preserve">Total Circuit Criminal = </v>
      </c>
      <c r="D15" s="472"/>
      <c r="E15" s="200">
        <f t="shared" ref="E15:P15" si="2">SUM(E11:E14)</f>
        <v>4075</v>
      </c>
      <c r="F15" s="201">
        <f t="shared" si="2"/>
        <v>4287</v>
      </c>
      <c r="G15" s="201">
        <f t="shared" si="2"/>
        <v>0</v>
      </c>
      <c r="H15" s="201">
        <f t="shared" si="2"/>
        <v>0</v>
      </c>
      <c r="I15" s="201">
        <f t="shared" si="2"/>
        <v>0</v>
      </c>
      <c r="J15" s="201">
        <f t="shared" si="2"/>
        <v>0</v>
      </c>
      <c r="K15" s="201">
        <f t="shared" si="2"/>
        <v>0</v>
      </c>
      <c r="L15" s="201">
        <f t="shared" si="2"/>
        <v>0</v>
      </c>
      <c r="M15" s="201">
        <f t="shared" si="2"/>
        <v>0</v>
      </c>
      <c r="N15" s="201">
        <f t="shared" si="2"/>
        <v>0</v>
      </c>
      <c r="O15" s="201">
        <f t="shared" si="2"/>
        <v>0</v>
      </c>
      <c r="P15" s="202">
        <f t="shared" si="2"/>
        <v>0</v>
      </c>
      <c r="Q15" s="112">
        <f t="shared" si="1"/>
        <v>8362</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4" t="str">
        <f>'Subcases Monthly'!C18:D18</f>
        <v>Misdemeanors/Worthless Checks (SRS)</v>
      </c>
      <c r="D18" s="475"/>
      <c r="E18" s="92">
        <f>IF('Subcases Monthly'!E18="","",('Subcases Monthly'!E18*'Subcases Weighted Total (Auto)'!$R18))</f>
        <v>2583</v>
      </c>
      <c r="F18" s="93">
        <f>IF('Subcases Monthly'!F18="","",('Subcases Monthly'!F18*'Subcases Weighted Total (Auto)'!$R18))</f>
        <v>2856</v>
      </c>
      <c r="G18" s="93">
        <f>IF('Subcases Monthly'!G18="","",('Subcases Monthly'!G18*'Subcases Weighted Total (Auto)'!$R18))</f>
        <v>0</v>
      </c>
      <c r="H18" s="93">
        <f>IF('Subcases Monthly'!H18="","",('Subcases Monthly'!H18*'Subcases Weighted Total (Auto)'!$R18))</f>
        <v>0</v>
      </c>
      <c r="I18" s="93">
        <f>IF('Subcases Monthly'!I18="","",('Subcases Monthly'!I18*'Subcases Weighted Total (Auto)'!$R18))</f>
        <v>0</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5439</v>
      </c>
      <c r="R18" s="203">
        <f>LookupData!$A$95</f>
        <v>7</v>
      </c>
      <c r="S18" s="4"/>
    </row>
    <row r="19" spans="1:19" ht="20.100000000000001" customHeight="1" x14ac:dyDescent="0.2">
      <c r="B19" s="190" t="str">
        <f>IF('Subcases Monthly'!B19="","",'Subcases Monthly'!B19)</f>
        <v/>
      </c>
      <c r="C19" s="461" t="str">
        <f>'Subcases Monthly'!C19:D19</f>
        <v>County/Municipal Ordinances (SRS)</v>
      </c>
      <c r="D19" s="462"/>
      <c r="E19" s="95">
        <f>IF('Subcases Monthly'!E19="","",('Subcases Monthly'!E19*'Subcases Weighted Total (Auto)'!$R19))</f>
        <v>20</v>
      </c>
      <c r="F19" s="96">
        <f>IF('Subcases Monthly'!F19="","",('Subcases Monthly'!F19*'Subcases Weighted Total (Auto)'!$R19))</f>
        <v>25</v>
      </c>
      <c r="G19" s="96">
        <f>IF('Subcases Monthly'!G19="","",('Subcases Monthly'!G19*'Subcases Weighted Total (Auto)'!$R19))</f>
        <v>0</v>
      </c>
      <c r="H19" s="96">
        <f>IF('Subcases Monthly'!H19="","",('Subcases Monthly'!H19*'Subcases Weighted Total (Auto)'!$R19))</f>
        <v>0</v>
      </c>
      <c r="I19" s="96">
        <f>IF('Subcases Monthly'!I19="","",('Subcases Monthly'!I19*'Subcases Weighted Total (Auto)'!$R19))</f>
        <v>0</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45</v>
      </c>
      <c r="R19" s="204">
        <f>LookupData!$A$96</f>
        <v>5</v>
      </c>
      <c r="S19" s="4"/>
    </row>
    <row r="20" spans="1:19" ht="20.100000000000001" customHeight="1" x14ac:dyDescent="0.2">
      <c r="B20" s="190" t="str">
        <f>IF('Subcases Monthly'!B20="","",'Subcases Monthly'!B20)</f>
        <v/>
      </c>
      <c r="C20" s="461" t="str">
        <f>'Subcases Monthly'!C20:D20</f>
        <v>Non-Criminal Infractions (SRS)</v>
      </c>
      <c r="D20" s="462"/>
      <c r="E20" s="98">
        <f>IF('Subcases Monthly'!E20="","",('Subcases Monthly'!E20*'Subcases Weighted Total (Auto)'!$R20))</f>
        <v>336</v>
      </c>
      <c r="F20" s="99">
        <f>IF('Subcases Monthly'!F20="","",('Subcases Monthly'!F20*'Subcases Weighted Total (Auto)'!$R20))</f>
        <v>456</v>
      </c>
      <c r="G20" s="99">
        <f>IF('Subcases Monthly'!G20="","",('Subcases Monthly'!G20*'Subcases Weighted Total (Auto)'!$R20))</f>
        <v>0</v>
      </c>
      <c r="H20" s="99">
        <f>IF('Subcases Monthly'!H20="","",('Subcases Monthly'!H20*'Subcases Weighted Total (Auto)'!$R20))</f>
        <v>0</v>
      </c>
      <c r="I20" s="99">
        <f>IF('Subcases Monthly'!I20="","",('Subcases Monthly'!I20*'Subcases Weighted Total (Auto)'!$R20))</f>
        <v>0</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792</v>
      </c>
      <c r="R20" s="204">
        <f>LookupData!$A$97</f>
        <v>3</v>
      </c>
      <c r="S20" s="4"/>
    </row>
    <row r="21" spans="1:19" ht="20.100000000000001" customHeight="1" x14ac:dyDescent="0.2">
      <c r="B21" s="190"/>
      <c r="C21" s="461" t="str">
        <f>'Subcases Monthly'!C21:D21</f>
        <v>Out of State Fugitive Warrants (Non-SRS)</v>
      </c>
      <c r="D21" s="462"/>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69" t="str">
        <f>'Subcases Monthly'!C22:D22</f>
        <v>Cases unable to be categorized</v>
      </c>
      <c r="D22" s="470"/>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1" t="str">
        <f>'Subcases Monthly'!C23:D23</f>
        <v>Total County Criminal =</v>
      </c>
      <c r="D23" s="472"/>
      <c r="E23" s="200">
        <f t="shared" ref="E23:P23" si="5">SUM(E18:E22)</f>
        <v>2939</v>
      </c>
      <c r="F23" s="201">
        <f t="shared" si="5"/>
        <v>3337</v>
      </c>
      <c r="G23" s="201">
        <f t="shared" si="5"/>
        <v>0</v>
      </c>
      <c r="H23" s="201">
        <f t="shared" si="5"/>
        <v>0</v>
      </c>
      <c r="I23" s="201">
        <f t="shared" si="5"/>
        <v>0</v>
      </c>
      <c r="J23" s="201">
        <f t="shared" si="5"/>
        <v>0</v>
      </c>
      <c r="K23" s="201">
        <f t="shared" si="5"/>
        <v>0</v>
      </c>
      <c r="L23" s="201">
        <f t="shared" si="5"/>
        <v>0</v>
      </c>
      <c r="M23" s="201">
        <f t="shared" si="5"/>
        <v>0</v>
      </c>
      <c r="N23" s="201">
        <f t="shared" si="5"/>
        <v>0</v>
      </c>
      <c r="O23" s="201">
        <f t="shared" si="5"/>
        <v>0</v>
      </c>
      <c r="P23" s="202">
        <f t="shared" si="5"/>
        <v>0</v>
      </c>
      <c r="Q23" s="110">
        <f t="shared" si="4"/>
        <v>6276</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4" t="str">
        <f>'Subcases Monthly'!C26:D26</f>
        <v>Delinquency Complaints, Incl Xfers for Disposition (SRS)</v>
      </c>
      <c r="D26" s="475"/>
      <c r="E26" s="92">
        <f>IF('Subcases Monthly'!E26="","",('Subcases Monthly'!E26*'Subcases Weighted Total (Auto)'!$R26))</f>
        <v>672</v>
      </c>
      <c r="F26" s="93">
        <f>IF('Subcases Monthly'!F26="","",('Subcases Monthly'!F26*'Subcases Weighted Total (Auto)'!$R26))</f>
        <v>665</v>
      </c>
      <c r="G26" s="93">
        <f>IF('Subcases Monthly'!G26="","",('Subcases Monthly'!G26*'Subcases Weighted Total (Auto)'!$R26))</f>
        <v>0</v>
      </c>
      <c r="H26" s="93">
        <f>IF('Subcases Monthly'!H26="","",('Subcases Monthly'!H26*'Subcases Weighted Total (Auto)'!$R26))</f>
        <v>0</v>
      </c>
      <c r="I26" s="93">
        <f>IF('Subcases Monthly'!I26="","",('Subcases Monthly'!I26*'Subcases Weighted Total (Auto)'!$R26))</f>
        <v>0</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1337</v>
      </c>
      <c r="R26" s="203">
        <f>LookupData!$A$101</f>
        <v>7</v>
      </c>
      <c r="S26" s="4"/>
    </row>
    <row r="27" spans="1:19" ht="20.100000000000001" customHeight="1" x14ac:dyDescent="0.2">
      <c r="B27" s="190"/>
      <c r="C27" s="461" t="str">
        <f>'Subcases Monthly'!C27:D27</f>
        <v>Non-criminal (1st offense) juvenile sexting cases</v>
      </c>
      <c r="D27" s="462"/>
      <c r="E27" s="95">
        <f>IF('Subcases Monthly'!E27="","",('Subcases Monthly'!E27*'Subcases Weighted Total (Auto)'!$R27))</f>
        <v>0</v>
      </c>
      <c r="F27" s="96">
        <f>IF('Subcases Monthly'!F27="","",('Subcases Monthly'!F27*'Subcases Weighted Total (Auto)'!$R27))</f>
        <v>0</v>
      </c>
      <c r="G27" s="96">
        <f>IF('Subcases Monthly'!G27="","",('Subcases Monthly'!G27*'Subcases Weighted Total (Auto)'!$R27))</f>
        <v>0</v>
      </c>
      <c r="H27" s="96">
        <f>IF('Subcases Monthly'!H27="","",('Subcases Monthly'!H27*'Subcases Weighted Total (Auto)'!$R27))</f>
        <v>0</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0</v>
      </c>
      <c r="R27" s="204">
        <f>LookupData!$A$102</f>
        <v>3</v>
      </c>
      <c r="S27" s="4"/>
    </row>
    <row r="28" spans="1:19" ht="20.100000000000001" customHeight="1" x14ac:dyDescent="0.2">
      <c r="B28" s="190" t="str">
        <f>IF('Subcases Monthly'!B28="","",'Subcases Monthly'!B28)</f>
        <v/>
      </c>
      <c r="C28" s="461" t="str">
        <f>'Subcases Monthly'!C28:D28</f>
        <v>Transfers for Jurisdiction/Supervision Only (Non-SRS)</v>
      </c>
      <c r="D28" s="462"/>
      <c r="E28" s="98">
        <f>IF('Subcases Monthly'!E28="","",('Subcases Monthly'!E28*'Subcases Weighted Total (Auto)'!$R28))</f>
        <v>4</v>
      </c>
      <c r="F28" s="99">
        <f>IF('Subcases Monthly'!F28="","",('Subcases Monthly'!F28*'Subcases Weighted Total (Auto)'!$R28))</f>
        <v>0</v>
      </c>
      <c r="G28" s="99">
        <f>IF('Subcases Monthly'!G28="","",('Subcases Monthly'!G28*'Subcases Weighted Total (Auto)'!$R28))</f>
        <v>0</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4</v>
      </c>
      <c r="R28" s="204">
        <f>LookupData!$A$103</f>
        <v>4</v>
      </c>
      <c r="S28" s="4"/>
    </row>
    <row r="29" spans="1:19" ht="20.100000000000001" customHeight="1" thickBot="1" x14ac:dyDescent="0.25">
      <c r="B29" s="191">
        <f>IF('Subcases Monthly'!B29="","",'Subcases Monthly'!B29)</f>
        <v>1</v>
      </c>
      <c r="C29" s="469" t="str">
        <f>'Subcases Monthly'!C29:D29</f>
        <v>Cases unable to be categorized</v>
      </c>
      <c r="D29" s="470"/>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1" t="str">
        <f>'Subcases Monthly'!C30:D30</f>
        <v xml:space="preserve">Total Juvenile Delinquency = </v>
      </c>
      <c r="D30" s="472"/>
      <c r="E30" s="200">
        <f t="shared" ref="E30:P30" si="8">SUM(E26:E29)</f>
        <v>676</v>
      </c>
      <c r="F30" s="201">
        <f t="shared" si="8"/>
        <v>665</v>
      </c>
      <c r="G30" s="201">
        <f t="shared" si="8"/>
        <v>0</v>
      </c>
      <c r="H30" s="201">
        <f t="shared" si="8"/>
        <v>0</v>
      </c>
      <c r="I30" s="201">
        <f t="shared" si="8"/>
        <v>0</v>
      </c>
      <c r="J30" s="201">
        <f t="shared" si="8"/>
        <v>0</v>
      </c>
      <c r="K30" s="201">
        <f t="shared" si="8"/>
        <v>0</v>
      </c>
      <c r="L30" s="201">
        <f t="shared" si="8"/>
        <v>0</v>
      </c>
      <c r="M30" s="201">
        <f t="shared" si="8"/>
        <v>0</v>
      </c>
      <c r="N30" s="201">
        <f t="shared" si="8"/>
        <v>0</v>
      </c>
      <c r="O30" s="201">
        <f t="shared" si="8"/>
        <v>0</v>
      </c>
      <c r="P30" s="202">
        <f t="shared" si="8"/>
        <v>0</v>
      </c>
      <c r="Q30" s="110">
        <f t="shared" si="7"/>
        <v>1341</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4" t="str">
        <f>'Subcases Monthly'!C33:D33</f>
        <v>DUI (SRS)</v>
      </c>
      <c r="D33" s="475"/>
      <c r="E33" s="92">
        <f>IF('Subcases Monthly'!E33="","",('Subcases Monthly'!E33*'Subcases Weighted Total (Auto)'!$R33))</f>
        <v>1050</v>
      </c>
      <c r="F33" s="93">
        <f>IF('Subcases Monthly'!F33="","",('Subcases Monthly'!F33*'Subcases Weighted Total (Auto)'!$R33))</f>
        <v>1120</v>
      </c>
      <c r="G33" s="93">
        <f>IF('Subcases Monthly'!G33="","",('Subcases Monthly'!G33*'Subcases Weighted Total (Auto)'!$R33))</f>
        <v>0</v>
      </c>
      <c r="H33" s="93">
        <f>IF('Subcases Monthly'!H33="","",('Subcases Monthly'!H33*'Subcases Weighted Total (Auto)'!$R33))</f>
        <v>0</v>
      </c>
      <c r="I33" s="93">
        <f>IF('Subcases Monthly'!I33="","",('Subcases Monthly'!I33*'Subcases Weighted Total (Auto)'!$R33))</f>
        <v>0</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2170</v>
      </c>
      <c r="R33" s="203">
        <f>LookupData!$A$106</f>
        <v>7</v>
      </c>
      <c r="S33" s="4"/>
    </row>
    <row r="34" spans="2:19" ht="20.100000000000001" customHeight="1" x14ac:dyDescent="0.2">
      <c r="B34" s="190" t="str">
        <f>IF('Subcases Monthly'!B34="","",'Subcases Monthly'!B34)</f>
        <v/>
      </c>
      <c r="C34" s="461" t="str">
        <f>'Subcases Monthly'!C34:D34</f>
        <v>Other Criminal Traffic (SRS)</v>
      </c>
      <c r="D34" s="462"/>
      <c r="E34" s="95">
        <f>IF('Subcases Monthly'!E34="","",('Subcases Monthly'!E34*'Subcases Weighted Total (Auto)'!$R34))</f>
        <v>3366</v>
      </c>
      <c r="F34" s="96">
        <f>IF('Subcases Monthly'!F34="","",('Subcases Monthly'!F34*'Subcases Weighted Total (Auto)'!$R34))</f>
        <v>3294</v>
      </c>
      <c r="G34" s="96">
        <f>IF('Subcases Monthly'!G34="","",('Subcases Monthly'!G34*'Subcases Weighted Total (Auto)'!$R34))</f>
        <v>0</v>
      </c>
      <c r="H34" s="96">
        <f>IF('Subcases Monthly'!H34="","",('Subcases Monthly'!H34*'Subcases Weighted Total (Auto)'!$R34))</f>
        <v>0</v>
      </c>
      <c r="I34" s="96">
        <f>IF('Subcases Monthly'!I34="","",('Subcases Monthly'!I34*'Subcases Weighted Total (Auto)'!$R34))</f>
        <v>0</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6660</v>
      </c>
      <c r="R34" s="204">
        <f>LookupData!$A$107</f>
        <v>6</v>
      </c>
      <c r="S34" s="4"/>
    </row>
    <row r="35" spans="2:19" ht="20.100000000000001" customHeight="1" thickBot="1" x14ac:dyDescent="0.25">
      <c r="B35" s="191">
        <f>IF('Subcases Monthly'!B35="","",'Subcases Monthly'!B35)</f>
        <v>1</v>
      </c>
      <c r="C35" s="469" t="str">
        <f>'Subcases Monthly'!C35:D35</f>
        <v>Cases unable to be categorized</v>
      </c>
      <c r="D35" s="470"/>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1" t="str">
        <f>'Subcases Monthly'!C36:D36</f>
        <v xml:space="preserve">Total Criminal Traffic - UTCs = </v>
      </c>
      <c r="D36" s="472"/>
      <c r="E36" s="200">
        <f t="shared" ref="E36:P36" si="11">SUM(E33:E35)</f>
        <v>4416</v>
      </c>
      <c r="F36" s="201">
        <f t="shared" si="11"/>
        <v>4414</v>
      </c>
      <c r="G36" s="201">
        <f t="shared" si="11"/>
        <v>0</v>
      </c>
      <c r="H36" s="201">
        <f t="shared" si="11"/>
        <v>0</v>
      </c>
      <c r="I36" s="201">
        <f t="shared" si="11"/>
        <v>0</v>
      </c>
      <c r="J36" s="201">
        <f t="shared" si="11"/>
        <v>0</v>
      </c>
      <c r="K36" s="201">
        <f t="shared" si="11"/>
        <v>0</v>
      </c>
      <c r="L36" s="201">
        <f t="shared" si="11"/>
        <v>0</v>
      </c>
      <c r="M36" s="201">
        <f t="shared" si="11"/>
        <v>0</v>
      </c>
      <c r="N36" s="201">
        <f t="shared" si="11"/>
        <v>0</v>
      </c>
      <c r="O36" s="201">
        <f t="shared" si="11"/>
        <v>0</v>
      </c>
      <c r="P36" s="202">
        <f t="shared" si="11"/>
        <v>0</v>
      </c>
      <c r="Q36" s="111">
        <f t="shared" si="10"/>
        <v>8830</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4" t="str">
        <f>'Subcases Monthly'!C39:D39</f>
        <v>Professional Malpractice (SRS)</v>
      </c>
      <c r="D39" s="475"/>
      <c r="E39" s="92">
        <f>IF('Subcases Monthly'!E39="","",('Subcases Monthly'!E39*'Subcases Weighted Total (Auto)'!$R39))</f>
        <v>14</v>
      </c>
      <c r="F39" s="93">
        <f>IF('Subcases Monthly'!F39="","",('Subcases Monthly'!F39*'Subcases Weighted Total (Auto)'!$R39))</f>
        <v>7</v>
      </c>
      <c r="G39" s="93">
        <f>IF('Subcases Monthly'!G39="","",('Subcases Monthly'!G39*'Subcases Weighted Total (Auto)'!$R39))</f>
        <v>0</v>
      </c>
      <c r="H39" s="93">
        <f>IF('Subcases Monthly'!H39="","",('Subcases Monthly'!H39*'Subcases Weighted Total (Auto)'!$R39))</f>
        <v>0</v>
      </c>
      <c r="I39" s="93">
        <f>IF('Subcases Monthly'!I39="","",('Subcases Monthly'!I39*'Subcases Weighted Total (Auto)'!$R39))</f>
        <v>0</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21</v>
      </c>
      <c r="R39" s="178">
        <f>LookupData!$A$110</f>
        <v>7</v>
      </c>
      <c r="S39" s="4"/>
    </row>
    <row r="40" spans="2:19" ht="20.100000000000001" customHeight="1" x14ac:dyDescent="0.2">
      <c r="B40" s="190" t="str">
        <f>IF('Subcases Monthly'!B40="","",'Subcases Monthly'!B40)</f>
        <v/>
      </c>
      <c r="C40" s="461" t="str">
        <f>'Subcases Monthly'!C40:D40</f>
        <v>Products Liability (SRS)</v>
      </c>
      <c r="D40" s="462"/>
      <c r="E40" s="95">
        <f>IF('Subcases Monthly'!E40="","",('Subcases Monthly'!E40*'Subcases Weighted Total (Auto)'!$R40))</f>
        <v>0</v>
      </c>
      <c r="F40" s="96">
        <f>IF('Subcases Monthly'!F40="","",('Subcases Monthly'!F40*'Subcases Weighted Total (Auto)'!$R40))</f>
        <v>0</v>
      </c>
      <c r="G40" s="96">
        <f>IF('Subcases Monthly'!G40="","",('Subcases Monthly'!G40*'Subcases Weighted Total (Auto)'!$R40))</f>
        <v>0</v>
      </c>
      <c r="H40" s="96">
        <f>IF('Subcases Monthly'!H40="","",('Subcases Monthly'!H40*'Subcases Weighted Total (Auto)'!$R40))</f>
        <v>0</v>
      </c>
      <c r="I40" s="96">
        <f>IF('Subcases Monthly'!I40="","",('Subcases Monthly'!I40*'Subcases Weighted Total (Auto)'!$R40))</f>
        <v>0</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0</v>
      </c>
      <c r="R40" s="179">
        <f>LookupData!$A$111</f>
        <v>7</v>
      </c>
      <c r="S40" s="4"/>
    </row>
    <row r="41" spans="2:19" ht="20.100000000000001" customHeight="1" x14ac:dyDescent="0.2">
      <c r="B41" s="190" t="str">
        <f>IF('Subcases Monthly'!B41="","",'Subcases Monthly'!B41)</f>
        <v/>
      </c>
      <c r="C41" s="461" t="str">
        <f>'Subcases Monthly'!C41:D41</f>
        <v>Auto Negligence (SRS)</v>
      </c>
      <c r="D41" s="462"/>
      <c r="E41" s="98">
        <f>IF('Subcases Monthly'!E41="","",('Subcases Monthly'!E41*'Subcases Weighted Total (Auto)'!$R41))</f>
        <v>546</v>
      </c>
      <c r="F41" s="99">
        <f>IF('Subcases Monthly'!F41="","",('Subcases Monthly'!F41*'Subcases Weighted Total (Auto)'!$R41))</f>
        <v>434</v>
      </c>
      <c r="G41" s="99">
        <f>IF('Subcases Monthly'!G41="","",('Subcases Monthly'!G41*'Subcases Weighted Total (Auto)'!$R41))</f>
        <v>0</v>
      </c>
      <c r="H41" s="99">
        <f>IF('Subcases Monthly'!H41="","",('Subcases Monthly'!H41*'Subcases Weighted Total (Auto)'!$R41))</f>
        <v>0</v>
      </c>
      <c r="I41" s="99">
        <f>IF('Subcases Monthly'!I41="","",('Subcases Monthly'!I41*'Subcases Weighted Total (Auto)'!$R41))</f>
        <v>0</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980</v>
      </c>
      <c r="R41" s="179">
        <f>LookupData!$A$112</f>
        <v>7</v>
      </c>
      <c r="S41" s="4"/>
    </row>
    <row r="42" spans="2:19" ht="20.100000000000001" customHeight="1" x14ac:dyDescent="0.2">
      <c r="B42" s="190" t="str">
        <f>IF('Subcases Monthly'!B42="","",'Subcases Monthly'!B42)</f>
        <v/>
      </c>
      <c r="C42" s="461" t="str">
        <f>'Subcases Monthly'!C42:D42</f>
        <v>Condominium (SRS)</v>
      </c>
      <c r="D42" s="462"/>
      <c r="E42" s="95">
        <f>IF('Subcases Monthly'!E42="","",('Subcases Monthly'!E42*'Subcases Weighted Total (Auto)'!$R42))</f>
        <v>6</v>
      </c>
      <c r="F42" s="96">
        <f>IF('Subcases Monthly'!F42="","",('Subcases Monthly'!F42*'Subcases Weighted Total (Auto)'!$R42))</f>
        <v>6</v>
      </c>
      <c r="G42" s="96">
        <f>IF('Subcases Monthly'!G42="","",('Subcases Monthly'!G42*'Subcases Weighted Total (Auto)'!$R42))</f>
        <v>0</v>
      </c>
      <c r="H42" s="96">
        <f>IF('Subcases Monthly'!H42="","",('Subcases Monthly'!H42*'Subcases Weighted Total (Auto)'!$R42))</f>
        <v>0</v>
      </c>
      <c r="I42" s="96">
        <f>IF('Subcases Monthly'!I42="","",('Subcases Monthly'!I42*'Subcases Weighted Total (Auto)'!$R42))</f>
        <v>0</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12</v>
      </c>
      <c r="R42" s="179">
        <f>LookupData!$A$113</f>
        <v>6</v>
      </c>
      <c r="S42" s="4"/>
    </row>
    <row r="43" spans="2:19" ht="20.100000000000001" customHeight="1" x14ac:dyDescent="0.2">
      <c r="B43" s="190" t="str">
        <f>IF('Subcases Monthly'!B43="","",'Subcases Monthly'!B43)</f>
        <v/>
      </c>
      <c r="C43" s="461" t="str">
        <f>'Subcases Monthly'!C43:D43</f>
        <v>Contract and Indebtedness (SRS)</v>
      </c>
      <c r="D43" s="462"/>
      <c r="E43" s="98">
        <f>IF('Subcases Monthly'!E43="","",('Subcases Monthly'!E43*'Subcases Weighted Total (Auto)'!$R43))</f>
        <v>384</v>
      </c>
      <c r="F43" s="99">
        <f>IF('Subcases Monthly'!F43="","",('Subcases Monthly'!F43*'Subcases Weighted Total (Auto)'!$R43))</f>
        <v>258</v>
      </c>
      <c r="G43" s="99">
        <f>IF('Subcases Monthly'!G43="","",('Subcases Monthly'!G43*'Subcases Weighted Total (Auto)'!$R43))</f>
        <v>0</v>
      </c>
      <c r="H43" s="99">
        <f>IF('Subcases Monthly'!H43="","",('Subcases Monthly'!H43*'Subcases Weighted Total (Auto)'!$R43))</f>
        <v>0</v>
      </c>
      <c r="I43" s="99">
        <f>IF('Subcases Monthly'!I43="","",('Subcases Monthly'!I43*'Subcases Weighted Total (Auto)'!$R43))</f>
        <v>0</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642</v>
      </c>
      <c r="R43" s="179">
        <f>LookupData!$A$114</f>
        <v>6</v>
      </c>
      <c r="S43" s="4"/>
    </row>
    <row r="44" spans="2:19" ht="20.100000000000001" customHeight="1" x14ac:dyDescent="0.2">
      <c r="B44" s="190" t="str">
        <f>IF('Subcases Monthly'!B44="","",'Subcases Monthly'!B44)</f>
        <v/>
      </c>
      <c r="C44" s="461" t="str">
        <f>'Subcases Monthly'!C44:D44</f>
        <v>Eminent Domain Parcels (SRS)</v>
      </c>
      <c r="D44" s="462"/>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79">
        <f>LookupData!$A$115</f>
        <v>7</v>
      </c>
      <c r="S44" s="4"/>
    </row>
    <row r="45" spans="2:19" ht="20.100000000000001" customHeight="1" x14ac:dyDescent="0.2">
      <c r="B45" s="190" t="str">
        <f>IF('Subcases Monthly'!B45="","",'Subcases Monthly'!B45)</f>
        <v/>
      </c>
      <c r="C45" s="461" t="str">
        <f>'Subcases Monthly'!C45:D45</f>
        <v>Other Negligence (SRS)</v>
      </c>
      <c r="D45" s="462"/>
      <c r="E45" s="98">
        <f>IF('Subcases Monthly'!E45="","",('Subcases Monthly'!E45*'Subcases Weighted Total (Auto)'!$R45))</f>
        <v>186</v>
      </c>
      <c r="F45" s="99">
        <f>IF('Subcases Monthly'!F45="","",('Subcases Monthly'!F45*'Subcases Weighted Total (Auto)'!$R45))</f>
        <v>168</v>
      </c>
      <c r="G45" s="99">
        <f>IF('Subcases Monthly'!G45="","",('Subcases Monthly'!G45*'Subcases Weighted Total (Auto)'!$R45))</f>
        <v>0</v>
      </c>
      <c r="H45" s="99">
        <f>IF('Subcases Monthly'!H45="","",('Subcases Monthly'!H45*'Subcases Weighted Total (Auto)'!$R45))</f>
        <v>0</v>
      </c>
      <c r="I45" s="99">
        <f>IF('Subcases Monthly'!I45="","",('Subcases Monthly'!I45*'Subcases Weighted Total (Auto)'!$R45))</f>
        <v>0</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354</v>
      </c>
      <c r="R45" s="179">
        <f>LookupData!$A$116</f>
        <v>6</v>
      </c>
      <c r="S45" s="4"/>
    </row>
    <row r="46" spans="2:19" ht="20.100000000000001" customHeight="1" x14ac:dyDescent="0.2">
      <c r="B46" s="190" t="str">
        <f>IF('Subcases Monthly'!B46="","",'Subcases Monthly'!B46)</f>
        <v/>
      </c>
      <c r="C46" s="461" t="str">
        <f>'Subcases Monthly'!C46:D46</f>
        <v>Commercial Foreclosure (SRS)</v>
      </c>
      <c r="D46" s="462"/>
      <c r="E46" s="95">
        <f>IF('Subcases Monthly'!E46="","",('Subcases Monthly'!E46*'Subcases Weighted Total (Auto)'!$R46))</f>
        <v>21</v>
      </c>
      <c r="F46" s="96">
        <f>IF('Subcases Monthly'!F46="","",('Subcases Monthly'!F46*'Subcases Weighted Total (Auto)'!$R46))</f>
        <v>0</v>
      </c>
      <c r="G46" s="96">
        <f>IF('Subcases Monthly'!G46="","",('Subcases Monthly'!G46*'Subcases Weighted Total (Auto)'!$R46))</f>
        <v>0</v>
      </c>
      <c r="H46" s="96">
        <f>IF('Subcases Monthly'!H46="","",('Subcases Monthly'!H46*'Subcases Weighted Total (Auto)'!$R46))</f>
        <v>0</v>
      </c>
      <c r="I46" s="96">
        <f>IF('Subcases Monthly'!I46="","",('Subcases Monthly'!I46*'Subcases Weighted Total (Auto)'!$R46))</f>
        <v>0</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21</v>
      </c>
      <c r="R46" s="179">
        <f>LookupData!$A$117</f>
        <v>7</v>
      </c>
      <c r="S46" s="4"/>
    </row>
    <row r="47" spans="2:19" ht="20.100000000000001" customHeight="1" x14ac:dyDescent="0.2">
      <c r="B47" s="190" t="str">
        <f>IF('Subcases Monthly'!B47="","",'Subcases Monthly'!B47)</f>
        <v/>
      </c>
      <c r="C47" s="461" t="str">
        <f>'Subcases Monthly'!C47:D47</f>
        <v>Homestead Residential Foreclosure (SRS)</v>
      </c>
      <c r="D47" s="462"/>
      <c r="E47" s="98">
        <f>IF('Subcases Monthly'!E47="","",('Subcases Monthly'!E47*'Subcases Weighted Total (Auto)'!$R47))</f>
        <v>225</v>
      </c>
      <c r="F47" s="99">
        <f>IF('Subcases Monthly'!F47="","",('Subcases Monthly'!F47*'Subcases Weighted Total (Auto)'!$R47))</f>
        <v>180</v>
      </c>
      <c r="G47" s="99">
        <f>IF('Subcases Monthly'!G47="","",('Subcases Monthly'!G47*'Subcases Weighted Total (Auto)'!$R47))</f>
        <v>0</v>
      </c>
      <c r="H47" s="99">
        <f>IF('Subcases Monthly'!H47="","",('Subcases Monthly'!H47*'Subcases Weighted Total (Auto)'!$R47))</f>
        <v>0</v>
      </c>
      <c r="I47" s="99">
        <f>IF('Subcases Monthly'!I47="","",('Subcases Monthly'!I47*'Subcases Weighted Total (Auto)'!$R47))</f>
        <v>0</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405</v>
      </c>
      <c r="R47" s="179">
        <f>LookupData!$A$118</f>
        <v>9</v>
      </c>
      <c r="S47" s="4"/>
    </row>
    <row r="48" spans="2:19" ht="20.100000000000001" customHeight="1" x14ac:dyDescent="0.2">
      <c r="B48" s="190" t="str">
        <f>IF('Subcases Monthly'!B48="","",'Subcases Monthly'!B48)</f>
        <v/>
      </c>
      <c r="C48" s="461" t="str">
        <f>'Subcases Monthly'!C48:D48</f>
        <v>Non-Homestead Residential Foreclosure (SRS)</v>
      </c>
      <c r="D48" s="462"/>
      <c r="E48" s="95">
        <f>IF('Subcases Monthly'!E48="","",('Subcases Monthly'!E48*'Subcases Weighted Total (Auto)'!$R48))</f>
        <v>184</v>
      </c>
      <c r="F48" s="96">
        <f>IF('Subcases Monthly'!F48="","",('Subcases Monthly'!F48*'Subcases Weighted Total (Auto)'!$R48))</f>
        <v>88</v>
      </c>
      <c r="G48" s="96">
        <f>IF('Subcases Monthly'!G48="","",('Subcases Monthly'!G48*'Subcases Weighted Total (Auto)'!$R48))</f>
        <v>0</v>
      </c>
      <c r="H48" s="96">
        <f>IF('Subcases Monthly'!H48="","",('Subcases Monthly'!H48*'Subcases Weighted Total (Auto)'!$R48))</f>
        <v>0</v>
      </c>
      <c r="I48" s="96">
        <f>IF('Subcases Monthly'!I48="","",('Subcases Monthly'!I48*'Subcases Weighted Total (Auto)'!$R48))</f>
        <v>0</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272</v>
      </c>
      <c r="R48" s="179">
        <f>LookupData!$A$119</f>
        <v>8</v>
      </c>
      <c r="S48" s="4"/>
    </row>
    <row r="49" spans="1:19" ht="20.100000000000001" customHeight="1" x14ac:dyDescent="0.2">
      <c r="B49" s="190" t="str">
        <f>IF('Subcases Monthly'!B49="","",'Subcases Monthly'!B49)</f>
        <v/>
      </c>
      <c r="C49" s="461" t="str">
        <f>'Subcases Monthly'!C49:D49</f>
        <v>Other Real Property Actions (SRS)</v>
      </c>
      <c r="D49" s="462"/>
      <c r="E49" s="98">
        <f>IF('Subcases Monthly'!E49="","",('Subcases Monthly'!E49*'Subcases Weighted Total (Auto)'!$R49))</f>
        <v>150</v>
      </c>
      <c r="F49" s="99">
        <f>IF('Subcases Monthly'!F49="","",('Subcases Monthly'!F49*'Subcases Weighted Total (Auto)'!$R49))</f>
        <v>144</v>
      </c>
      <c r="G49" s="99">
        <f>IF('Subcases Monthly'!G49="","",('Subcases Monthly'!G49*'Subcases Weighted Total (Auto)'!$R49))</f>
        <v>0</v>
      </c>
      <c r="H49" s="99">
        <f>IF('Subcases Monthly'!H49="","",('Subcases Monthly'!H49*'Subcases Weighted Total (Auto)'!$R49))</f>
        <v>0</v>
      </c>
      <c r="I49" s="99">
        <f>IF('Subcases Monthly'!I49="","",('Subcases Monthly'!I49*'Subcases Weighted Total (Auto)'!$R49))</f>
        <v>0</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294</v>
      </c>
      <c r="R49" s="179">
        <f>LookupData!$A$120</f>
        <v>6</v>
      </c>
      <c r="S49" s="4"/>
    </row>
    <row r="50" spans="1:19" ht="20.100000000000001" customHeight="1" x14ac:dyDescent="0.2">
      <c r="B50" s="190" t="str">
        <f>IF('Subcases Monthly'!B50="","",'Subcases Monthly'!B50)</f>
        <v/>
      </c>
      <c r="C50" s="461" t="str">
        <f>'Subcases Monthly'!C50:D50</f>
        <v>Other Civil (SRS)</v>
      </c>
      <c r="D50" s="462"/>
      <c r="E50" s="95">
        <f>IF('Subcases Monthly'!E50="","",('Subcases Monthly'!E50*'Subcases Weighted Total (Auto)'!$R50))</f>
        <v>282</v>
      </c>
      <c r="F50" s="96">
        <f>IF('Subcases Monthly'!F50="","",('Subcases Monthly'!F50*'Subcases Weighted Total (Auto)'!$R50))</f>
        <v>228</v>
      </c>
      <c r="G50" s="96">
        <f>IF('Subcases Monthly'!G50="","",('Subcases Monthly'!G50*'Subcases Weighted Total (Auto)'!$R50))</f>
        <v>0</v>
      </c>
      <c r="H50" s="96">
        <f>IF('Subcases Monthly'!H50="","",('Subcases Monthly'!H50*'Subcases Weighted Total (Auto)'!$R50))</f>
        <v>0</v>
      </c>
      <c r="I50" s="96">
        <f>IF('Subcases Monthly'!I50="","",('Subcases Monthly'!I50*'Subcases Weighted Total (Auto)'!$R50))</f>
        <v>0</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510</v>
      </c>
      <c r="R50" s="179">
        <f>LookupData!$A$121</f>
        <v>6</v>
      </c>
      <c r="S50" s="4"/>
    </row>
    <row r="51" spans="1:19" ht="20.100000000000001" customHeight="1" x14ac:dyDescent="0.2">
      <c r="B51" s="190"/>
      <c r="C51" s="461" t="str">
        <f>'Subcases Monthly'!C51:D51</f>
        <v>Involuntary Civil Commitment of Sexually Violent Predators (SRS)</v>
      </c>
      <c r="D51" s="462"/>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61" t="str">
        <f>'Subcases Monthly'!C52:D52</f>
        <v>Appeals (AP cases) filed in Circuit Court (SRS)</v>
      </c>
      <c r="D52" s="462"/>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61" t="str">
        <f>'Subcases Monthly'!C53:D53</f>
        <v>Writs of Certiorari (SRS)</v>
      </c>
      <c r="D53" s="462"/>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61" t="str">
        <f>'Subcases Monthly'!C54:D54</f>
        <v>Medical Extensions (Petitions to Extend) (Non-SRS)</v>
      </c>
      <c r="D54" s="462"/>
      <c r="E54" s="95">
        <f>IF('Subcases Monthly'!E54="","",('Subcases Monthly'!E54*'Subcases Weighted Total (Auto)'!$R54))</f>
        <v>3</v>
      </c>
      <c r="F54" s="96">
        <f>IF('Subcases Monthly'!F54="","",('Subcases Monthly'!F54*'Subcases Weighted Total (Auto)'!$R54))</f>
        <v>9</v>
      </c>
      <c r="G54" s="96">
        <f>IF('Subcases Monthly'!G54="","",('Subcases Monthly'!G54*'Subcases Weighted Total (Auto)'!$R54))</f>
        <v>0</v>
      </c>
      <c r="H54" s="96">
        <f>IF('Subcases Monthly'!H54="","",('Subcases Monthly'!H54*'Subcases Weighted Total (Auto)'!$R54))</f>
        <v>0</v>
      </c>
      <c r="I54" s="96">
        <f>IF('Subcases Monthly'!I54="","",('Subcases Monthly'!I54*'Subcases Weighted Total (Auto)'!$R54))</f>
        <v>0</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12</v>
      </c>
      <c r="R54" s="179">
        <f>LookupData!$A$125</f>
        <v>1</v>
      </c>
      <c r="S54" s="4"/>
    </row>
    <row r="55" spans="1:19" ht="20.100000000000001" customHeight="1" x14ac:dyDescent="0.2">
      <c r="B55" s="190"/>
      <c r="C55" s="461" t="str">
        <f>'Subcases Monthly'!C55:D55</f>
        <v>Transfers of Lien to Security (Non-SRS)</v>
      </c>
      <c r="D55" s="462"/>
      <c r="E55" s="98">
        <f>IF('Subcases Monthly'!E55="","",('Subcases Monthly'!E55*'Subcases Weighted Total (Auto)'!$R55))</f>
        <v>6</v>
      </c>
      <c r="F55" s="99">
        <f>IF('Subcases Monthly'!F55="","",('Subcases Monthly'!F55*'Subcases Weighted Total (Auto)'!$R55))</f>
        <v>0</v>
      </c>
      <c r="G55" s="99">
        <f>IF('Subcases Monthly'!G55="","",('Subcases Monthly'!G55*'Subcases Weighted Total (Auto)'!$R55))</f>
        <v>0</v>
      </c>
      <c r="H55" s="99">
        <f>IF('Subcases Monthly'!H55="","",('Subcases Monthly'!H55*'Subcases Weighted Total (Auto)'!$R55))</f>
        <v>0</v>
      </c>
      <c r="I55" s="99">
        <f>IF('Subcases Monthly'!I55="","",('Subcases Monthly'!I55*'Subcases Weighted Total (Auto)'!$R55))</f>
        <v>0</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6</v>
      </c>
      <c r="R55" s="179">
        <f>LookupData!$A$126</f>
        <v>3</v>
      </c>
      <c r="S55" s="4"/>
    </row>
    <row r="56" spans="1:19" ht="20.100000000000001" customHeight="1" x14ac:dyDescent="0.2">
      <c r="B56" s="190"/>
      <c r="C56" s="461" t="str">
        <f>'Subcases Monthly'!C56:D56</f>
        <v>Civil Contempt for FTA for Jury Duty (Non-SRS)</v>
      </c>
      <c r="D56" s="462"/>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61" t="str">
        <f>'Subcases Monthly'!C57:D57</f>
        <v>Confirmation of Arbitration (Non-SRS)</v>
      </c>
      <c r="D57" s="462"/>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61" t="str">
        <f>'Subcases Monthly'!C58:D58</f>
        <v>Foreign Judgments (Non-SRS)</v>
      </c>
      <c r="D58" s="462"/>
      <c r="E58" s="447">
        <f>IF('Subcases Monthly'!E58="","",('Subcases Monthly'!E58*'Subcases Weighted Total (Auto)'!$R58))</f>
        <v>9</v>
      </c>
      <c r="F58" s="448">
        <f>IF('Subcases Monthly'!F58="","",('Subcases Monthly'!F58*'Subcases Weighted Total (Auto)'!$R58))</f>
        <v>9</v>
      </c>
      <c r="G58" s="448">
        <f>IF('Subcases Monthly'!G58="","",('Subcases Monthly'!G58*'Subcases Weighted Total (Auto)'!$R58))</f>
        <v>0</v>
      </c>
      <c r="H58" s="448">
        <f>IF('Subcases Monthly'!H58="","",('Subcases Monthly'!H58*'Subcases Weighted Total (Auto)'!$R58))</f>
        <v>0</v>
      </c>
      <c r="I58" s="448">
        <f>IF('Subcases Monthly'!I58="","",('Subcases Monthly'!I58*'Subcases Weighted Total (Auto)'!$R58))</f>
        <v>0</v>
      </c>
      <c r="J58" s="448">
        <f>IF('Subcases Monthly'!J58="","",('Subcases Monthly'!J58*'Subcases Weighted Total (Auto)'!$R58))</f>
        <v>0</v>
      </c>
      <c r="K58" s="448">
        <f>IF('Subcases Monthly'!K58="","",('Subcases Monthly'!K58*'Subcases Weighted Total (Auto)'!$R58))</f>
        <v>0</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18</v>
      </c>
      <c r="R58" s="179">
        <f>LookupData!$A$129</f>
        <v>3</v>
      </c>
      <c r="S58" s="4"/>
    </row>
    <row r="59" spans="1:19" ht="20.100000000000001" customHeight="1" thickBot="1" x14ac:dyDescent="0.25">
      <c r="B59" s="191"/>
      <c r="C59" s="469" t="str">
        <f>'Subcases Monthly'!C59:D59</f>
        <v>Cases unable to be categorized</v>
      </c>
      <c r="D59" s="470"/>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1" t="str">
        <f>'Subcases Monthly'!C60:D60</f>
        <v>Total Circuit Civil =</v>
      </c>
      <c r="D60" s="472"/>
      <c r="E60" s="200">
        <f t="shared" ref="E60:P60" si="14">SUM(E39:E59)</f>
        <v>2016</v>
      </c>
      <c r="F60" s="201">
        <f t="shared" si="14"/>
        <v>1539</v>
      </c>
      <c r="G60" s="201">
        <f t="shared" si="14"/>
        <v>0</v>
      </c>
      <c r="H60" s="201">
        <f t="shared" si="14"/>
        <v>0</v>
      </c>
      <c r="I60" s="201">
        <f t="shared" si="14"/>
        <v>0</v>
      </c>
      <c r="J60" s="201">
        <f t="shared" si="14"/>
        <v>0</v>
      </c>
      <c r="K60" s="201">
        <f t="shared" si="14"/>
        <v>0</v>
      </c>
      <c r="L60" s="201">
        <f t="shared" si="14"/>
        <v>0</v>
      </c>
      <c r="M60" s="201">
        <f t="shared" si="14"/>
        <v>0</v>
      </c>
      <c r="N60" s="201">
        <f t="shared" si="14"/>
        <v>0</v>
      </c>
      <c r="O60" s="201">
        <f t="shared" si="14"/>
        <v>0</v>
      </c>
      <c r="P60" s="202">
        <f t="shared" si="14"/>
        <v>0</v>
      </c>
      <c r="Q60" s="73">
        <f t="shared" si="13"/>
        <v>3555</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4" t="str">
        <f>'Subcases Monthly'!C63:D63</f>
        <v>Small Claims (up to $5,000) (SRS)</v>
      </c>
      <c r="D63" s="475"/>
      <c r="E63" s="121">
        <f>IF('Subcases Monthly'!E63="","",('Subcases Monthly'!E63*'Subcases Weighted Total (Auto)'!$R63))</f>
        <v>2988</v>
      </c>
      <c r="F63" s="122">
        <f>IF('Subcases Monthly'!F63="","",('Subcases Monthly'!F63*'Subcases Weighted Total (Auto)'!$R63))</f>
        <v>3090</v>
      </c>
      <c r="G63" s="122">
        <f>IF('Subcases Monthly'!G63="","",('Subcases Monthly'!G63*'Subcases Weighted Total (Auto)'!$R63))</f>
        <v>0</v>
      </c>
      <c r="H63" s="122">
        <f>IF('Subcases Monthly'!H63="","",('Subcases Monthly'!H63*'Subcases Weighted Total (Auto)'!$R63))</f>
        <v>0</v>
      </c>
      <c r="I63" s="122">
        <f>IF('Subcases Monthly'!I63="","",('Subcases Monthly'!I63*'Subcases Weighted Total (Auto)'!$R63))</f>
        <v>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6078</v>
      </c>
      <c r="R63" s="203">
        <f>LookupData!$A$132</f>
        <v>6</v>
      </c>
      <c r="S63" s="4"/>
    </row>
    <row r="64" spans="1:19" ht="20.100000000000001" customHeight="1" x14ac:dyDescent="0.2">
      <c r="B64" s="190" t="str">
        <f>IF('Subcases Monthly'!B64="","",'Subcases Monthly'!B64)</f>
        <v/>
      </c>
      <c r="C64" s="461" t="str">
        <f>'Subcases Monthly'!C64:D64</f>
        <v>Small Claims ($5,001 - $8,000) (SRS)</v>
      </c>
      <c r="D64" s="462"/>
      <c r="E64" s="95">
        <f>IF('Subcases Monthly'!E64="","",('Subcases Monthly'!E64*'Subcases Weighted Total (Auto)'!$R64))</f>
        <v>870</v>
      </c>
      <c r="F64" s="96">
        <f>IF('Subcases Monthly'!F64="","",('Subcases Monthly'!F64*'Subcases Weighted Total (Auto)'!$R64))</f>
        <v>960</v>
      </c>
      <c r="G64" s="96">
        <f>IF('Subcases Monthly'!G64="","",('Subcases Monthly'!G64*'Subcases Weighted Total (Auto)'!$R64))</f>
        <v>0</v>
      </c>
      <c r="H64" s="96">
        <f>IF('Subcases Monthly'!H64="","",('Subcases Monthly'!H64*'Subcases Weighted Total (Auto)'!$R64))</f>
        <v>0</v>
      </c>
      <c r="I64" s="96">
        <f>IF('Subcases Monthly'!I64="","",('Subcases Monthly'!I64*'Subcases Weighted Total (Auto)'!$R64))</f>
        <v>0</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1830</v>
      </c>
      <c r="R64" s="204">
        <f>LookupData!$A$133</f>
        <v>6</v>
      </c>
      <c r="S64" s="4"/>
    </row>
    <row r="65" spans="2:19" ht="20.100000000000001" customHeight="1" x14ac:dyDescent="0.2">
      <c r="B65" s="190" t="str">
        <f>IF('Subcases Monthly'!B65="","",'Subcases Monthly'!B65)</f>
        <v/>
      </c>
      <c r="C65" s="461" t="str">
        <f>'Subcases Monthly'!C65:D65</f>
        <v>Civil ($8,001 - $15,000) (SRS)</v>
      </c>
      <c r="D65" s="462"/>
      <c r="E65" s="98">
        <f>IF('Subcases Monthly'!E65="","",('Subcases Monthly'!E65*'Subcases Weighted Total (Auto)'!$R65))</f>
        <v>755</v>
      </c>
      <c r="F65" s="99">
        <f>IF('Subcases Monthly'!F65="","",('Subcases Monthly'!F65*'Subcases Weighted Total (Auto)'!$R65))</f>
        <v>710</v>
      </c>
      <c r="G65" s="99">
        <f>IF('Subcases Monthly'!G65="","",('Subcases Monthly'!G65*'Subcases Weighted Total (Auto)'!$R65))</f>
        <v>0</v>
      </c>
      <c r="H65" s="99">
        <f>IF('Subcases Monthly'!H65="","",('Subcases Monthly'!H65*'Subcases Weighted Total (Auto)'!$R65))</f>
        <v>0</v>
      </c>
      <c r="I65" s="99">
        <f>IF('Subcases Monthly'!I65="","",('Subcases Monthly'!I65*'Subcases Weighted Total (Auto)'!$R65))</f>
        <v>0</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1465</v>
      </c>
      <c r="R65" s="204">
        <f>LookupData!$A$134</f>
        <v>5</v>
      </c>
      <c r="S65" s="4"/>
    </row>
    <row r="66" spans="2:19" ht="20.100000000000001" customHeight="1" x14ac:dyDescent="0.2">
      <c r="B66" s="190" t="str">
        <f>IF('Subcases Monthly'!B66="","",'Subcases Monthly'!B66)</f>
        <v/>
      </c>
      <c r="C66" s="461" t="str">
        <f>'Subcases Monthly'!C66:D66</f>
        <v>Civil ($15,001 - $30,000) (SRS)</v>
      </c>
      <c r="D66" s="462"/>
      <c r="E66" s="95">
        <f>IF('Subcases Monthly'!E66="","",('Subcases Monthly'!E66*'Subcases Weighted Total (Auto)'!$R66))</f>
        <v>380</v>
      </c>
      <c r="F66" s="96">
        <f>IF('Subcases Monthly'!F66="","",('Subcases Monthly'!F66*'Subcases Weighted Total (Auto)'!$R66))</f>
        <v>255</v>
      </c>
      <c r="G66" s="96">
        <f>IF('Subcases Monthly'!G66="","",('Subcases Monthly'!G66*'Subcases Weighted Total (Auto)'!$R66))</f>
        <v>0</v>
      </c>
      <c r="H66" s="96">
        <f>IF('Subcases Monthly'!H66="","",('Subcases Monthly'!H66*'Subcases Weighted Total (Auto)'!$R66))</f>
        <v>0</v>
      </c>
      <c r="I66" s="96">
        <f>IF('Subcases Monthly'!I66="","",('Subcases Monthly'!I66*'Subcases Weighted Total (Auto)'!$R66))</f>
        <v>0</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635</v>
      </c>
      <c r="R66" s="204">
        <f>LookupData!$A$135</f>
        <v>5</v>
      </c>
      <c r="S66" s="4"/>
    </row>
    <row r="67" spans="2:19" ht="20.100000000000001" customHeight="1" x14ac:dyDescent="0.2">
      <c r="B67" s="190"/>
      <c r="C67" s="461" t="str">
        <f>'Subcases Monthly'!C67:D67</f>
        <v>Civil ($30,001 - $50,000) (SRS)</v>
      </c>
      <c r="D67" s="462"/>
      <c r="E67" s="174">
        <f>IF('Subcases Monthly'!E67="","",('Subcases Monthly'!E67*'Subcases Weighted Total (Auto)'!$R67))</f>
        <v>175</v>
      </c>
      <c r="F67" s="175">
        <f>IF('Subcases Monthly'!F67="","",('Subcases Monthly'!F67*'Subcases Weighted Total (Auto)'!$R67))</f>
        <v>175</v>
      </c>
      <c r="G67" s="175">
        <f>IF('Subcases Monthly'!G67="","",('Subcases Monthly'!G67*'Subcases Weighted Total (Auto)'!$R67))</f>
        <v>0</v>
      </c>
      <c r="H67" s="175">
        <f>IF('Subcases Monthly'!H67="","",('Subcases Monthly'!H67*'Subcases Weighted Total (Auto)'!$R67))</f>
        <v>0</v>
      </c>
      <c r="I67" s="175">
        <f>IF('Subcases Monthly'!I67="","",('Subcases Monthly'!I67*'Subcases Weighted Total (Auto)'!$R67))</f>
        <v>0</v>
      </c>
      <c r="J67" s="175">
        <f>IF('Subcases Monthly'!J67="","",('Subcases Monthly'!J67*'Subcases Weighted Total (Auto)'!$R67))</f>
        <v>0</v>
      </c>
      <c r="K67" s="175">
        <f>IF('Subcases Monthly'!K67="","",('Subcases Monthly'!K67*'Subcases Weighted Total (Auto)'!$R67))</f>
        <v>0</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350</v>
      </c>
      <c r="R67" s="204">
        <f>LookupData!$A$136</f>
        <v>5</v>
      </c>
      <c r="S67" s="4"/>
    </row>
    <row r="68" spans="2:19" ht="20.100000000000001" customHeight="1" x14ac:dyDescent="0.2">
      <c r="B68" s="190" t="str">
        <f>IF('Subcases Monthly'!B68="","",'Subcases Monthly'!B68)</f>
        <v/>
      </c>
      <c r="C68" s="461" t="str">
        <f>'Subcases Monthly'!C68:D68</f>
        <v>Replevins (SRS)</v>
      </c>
      <c r="D68" s="462"/>
      <c r="E68" s="95">
        <f>IF('Subcases Monthly'!E68="","",('Subcases Monthly'!E68*'Subcases Weighted Total (Auto)'!$R68))</f>
        <v>20</v>
      </c>
      <c r="F68" s="96">
        <f>IF('Subcases Monthly'!F68="","",('Subcases Monthly'!F68*'Subcases Weighted Total (Auto)'!$R68))</f>
        <v>12</v>
      </c>
      <c r="G68" s="96">
        <f>IF('Subcases Monthly'!G68="","",('Subcases Monthly'!G68*'Subcases Weighted Total (Auto)'!$R68))</f>
        <v>0</v>
      </c>
      <c r="H68" s="96">
        <f>IF('Subcases Monthly'!H68="","",('Subcases Monthly'!H68*'Subcases Weighted Total (Auto)'!$R68))</f>
        <v>0</v>
      </c>
      <c r="I68" s="96">
        <f>IF('Subcases Monthly'!I68="","",('Subcases Monthly'!I68*'Subcases Weighted Total (Auto)'!$R68))</f>
        <v>0</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32</v>
      </c>
      <c r="R68" s="204">
        <f>LookupData!$A$137</f>
        <v>4</v>
      </c>
      <c r="S68" s="4"/>
    </row>
    <row r="69" spans="2:19" ht="20.100000000000001" customHeight="1" x14ac:dyDescent="0.2">
      <c r="B69" s="190" t="str">
        <f>IF('Subcases Monthly'!B69="","",'Subcases Monthly'!B69)</f>
        <v/>
      </c>
      <c r="C69" s="461" t="str">
        <f>'Subcases Monthly'!C69:D69</f>
        <v>Evictions (SRS)</v>
      </c>
      <c r="D69" s="462"/>
      <c r="E69" s="98">
        <f>IF('Subcases Monthly'!E69="","",('Subcases Monthly'!E69*'Subcases Weighted Total (Auto)'!$R69))</f>
        <v>1614</v>
      </c>
      <c r="F69" s="99">
        <f>IF('Subcases Monthly'!F69="","",('Subcases Monthly'!F69*'Subcases Weighted Total (Auto)'!$R69))</f>
        <v>1662</v>
      </c>
      <c r="G69" s="99">
        <f>IF('Subcases Monthly'!G69="","",('Subcases Monthly'!G69*'Subcases Weighted Total (Auto)'!$R69))</f>
        <v>0</v>
      </c>
      <c r="H69" s="99">
        <f>IF('Subcases Monthly'!H69="","",('Subcases Monthly'!H69*'Subcases Weighted Total (Auto)'!$R69))</f>
        <v>0</v>
      </c>
      <c r="I69" s="99">
        <f>IF('Subcases Monthly'!I69="","",('Subcases Monthly'!I69*'Subcases Weighted Total (Auto)'!$R69))</f>
        <v>0</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3276</v>
      </c>
      <c r="R69" s="204">
        <f>LookupData!$A$138</f>
        <v>6</v>
      </c>
      <c r="S69" s="4"/>
    </row>
    <row r="70" spans="2:19" ht="20.100000000000001" customHeight="1" x14ac:dyDescent="0.2">
      <c r="B70" s="190" t="str">
        <f>IF('Subcases Monthly'!B70="","",'Subcases Monthly'!B70)</f>
        <v/>
      </c>
      <c r="C70" s="461" t="str">
        <f>'Subcases Monthly'!C70:D70</f>
        <v>Other County Civil (Non-Monetary) (SRS)</v>
      </c>
      <c r="D70" s="462"/>
      <c r="E70" s="95">
        <f>IF('Subcases Monthly'!E70="","",('Subcases Monthly'!E70*'Subcases Weighted Total (Auto)'!$R70))</f>
        <v>12</v>
      </c>
      <c r="F70" s="96">
        <f>IF('Subcases Monthly'!F70="","",('Subcases Monthly'!F70*'Subcases Weighted Total (Auto)'!$R70))</f>
        <v>20</v>
      </c>
      <c r="G70" s="96">
        <f>IF('Subcases Monthly'!G70="","",('Subcases Monthly'!G70*'Subcases Weighted Total (Auto)'!$R70))</f>
        <v>0</v>
      </c>
      <c r="H70" s="96">
        <f>IF('Subcases Monthly'!H70="","",('Subcases Monthly'!H70*'Subcases Weighted Total (Auto)'!$R70))</f>
        <v>0</v>
      </c>
      <c r="I70" s="96">
        <f>IF('Subcases Monthly'!I70="","",('Subcases Monthly'!I70*'Subcases Weighted Total (Auto)'!$R70))</f>
        <v>0</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32</v>
      </c>
      <c r="R70" s="204">
        <f>LookupData!$A$139</f>
        <v>4</v>
      </c>
      <c r="S70" s="4"/>
    </row>
    <row r="71" spans="2:19" ht="20.100000000000001" customHeight="1" x14ac:dyDescent="0.2">
      <c r="B71" s="190" t="str">
        <f>IF('Subcases Monthly'!B71="","",'Subcases Monthly'!B71)</f>
        <v/>
      </c>
      <c r="C71" s="461" t="str">
        <f>'Subcases Monthly'!C71:D71</f>
        <v>Foreign Judgments (Non-SRS)</v>
      </c>
      <c r="D71" s="462"/>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0</v>
      </c>
      <c r="I71" s="99">
        <f>IF('Subcases Monthly'!I71="","",('Subcases Monthly'!I71*'Subcases Weighted Total (Auto)'!$R71))</f>
        <v>0</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3</v>
      </c>
      <c r="R71" s="204">
        <f>LookupData!$A$140</f>
        <v>3</v>
      </c>
      <c r="S71" s="4"/>
    </row>
    <row r="72" spans="2:19" ht="20.100000000000001" customHeight="1" x14ac:dyDescent="0.2">
      <c r="B72" s="190" t="str">
        <f>IF('Subcases Monthly'!B72="","",'Subcases Monthly'!B72)</f>
        <v/>
      </c>
      <c r="C72" s="461" t="str">
        <f>'Subcases Monthly'!C72:D72</f>
        <v>Applications for Voluntary Binding Arbitration (Non-SRS)</v>
      </c>
      <c r="D72" s="462"/>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69" t="str">
        <f>'Subcases Monthly'!C73:D73</f>
        <v>Cases unable to be categorized</v>
      </c>
      <c r="D73" s="470"/>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1" t="str">
        <f>'Subcases Monthly'!C74:D74</f>
        <v>Total County Civil =</v>
      </c>
      <c r="D74" s="472"/>
      <c r="E74" s="200">
        <f t="shared" ref="E74:P74" si="18">SUM(E63:E73)</f>
        <v>6817</v>
      </c>
      <c r="F74" s="201">
        <f t="shared" si="18"/>
        <v>6884</v>
      </c>
      <c r="G74" s="201">
        <f t="shared" si="18"/>
        <v>0</v>
      </c>
      <c r="H74" s="201">
        <f t="shared" si="18"/>
        <v>0</v>
      </c>
      <c r="I74" s="201">
        <f t="shared" si="18"/>
        <v>0</v>
      </c>
      <c r="J74" s="201">
        <f t="shared" si="18"/>
        <v>0</v>
      </c>
      <c r="K74" s="201">
        <f t="shared" si="18"/>
        <v>0</v>
      </c>
      <c r="L74" s="201">
        <f t="shared" si="18"/>
        <v>0</v>
      </c>
      <c r="M74" s="201">
        <f t="shared" si="18"/>
        <v>0</v>
      </c>
      <c r="N74" s="201">
        <f t="shared" si="18"/>
        <v>0</v>
      </c>
      <c r="O74" s="201">
        <f t="shared" si="18"/>
        <v>0</v>
      </c>
      <c r="P74" s="202">
        <f t="shared" si="18"/>
        <v>0</v>
      </c>
      <c r="Q74" s="110">
        <f t="shared" si="16"/>
        <v>13701</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4" t="str">
        <f>'Subcases Monthly'!C77:D77</f>
        <v>Probate (SRS)</v>
      </c>
      <c r="D77" s="475"/>
      <c r="E77" s="92">
        <f>IF('Subcases Monthly'!E77="","",('Subcases Monthly'!E77*'Subcases Weighted Total (Auto)'!$R77))</f>
        <v>1267</v>
      </c>
      <c r="F77" s="93">
        <f>IF('Subcases Monthly'!F77="","",('Subcases Monthly'!F77*'Subcases Weighted Total (Auto)'!$R77))</f>
        <v>1232</v>
      </c>
      <c r="G77" s="93">
        <f>IF('Subcases Monthly'!G77="","",('Subcases Monthly'!G77*'Subcases Weighted Total (Auto)'!$R77))</f>
        <v>0</v>
      </c>
      <c r="H77" s="93">
        <f>IF('Subcases Monthly'!H77="","",('Subcases Monthly'!H77*'Subcases Weighted Total (Auto)'!$R77))</f>
        <v>0</v>
      </c>
      <c r="I77" s="93">
        <f>IF('Subcases Monthly'!I77="","",('Subcases Monthly'!I77*'Subcases Weighted Total (Auto)'!$R77))</f>
        <v>0</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2499</v>
      </c>
      <c r="R77" s="203">
        <f>LookupData!$A$144</f>
        <v>7</v>
      </c>
      <c r="S77" s="4"/>
    </row>
    <row r="78" spans="2:19" ht="20.100000000000001" customHeight="1" x14ac:dyDescent="0.2">
      <c r="B78" s="190" t="str">
        <f>IF('Subcases Monthly'!B78="","",'Subcases Monthly'!B78)</f>
        <v/>
      </c>
      <c r="C78" s="461" t="str">
        <f>'Subcases Monthly'!C78:D78</f>
        <v>Guardianship (SRS)</v>
      </c>
      <c r="D78" s="462"/>
      <c r="E78" s="95">
        <f>IF('Subcases Monthly'!E78="","",('Subcases Monthly'!E78*'Subcases Weighted Total (Auto)'!$R78))</f>
        <v>420</v>
      </c>
      <c r="F78" s="96">
        <f>IF('Subcases Monthly'!F78="","",('Subcases Monthly'!F78*'Subcases Weighted Total (Auto)'!$R78))</f>
        <v>200</v>
      </c>
      <c r="G78" s="96">
        <f>IF('Subcases Monthly'!G78="","",('Subcases Monthly'!G78*'Subcases Weighted Total (Auto)'!$R78))</f>
        <v>0</v>
      </c>
      <c r="H78" s="96">
        <f>IF('Subcases Monthly'!H78="","",('Subcases Monthly'!H78*'Subcases Weighted Total (Auto)'!$R78))</f>
        <v>0</v>
      </c>
      <c r="I78" s="96">
        <f>IF('Subcases Monthly'!I78="","",('Subcases Monthly'!I78*'Subcases Weighted Total (Auto)'!$R78))</f>
        <v>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620</v>
      </c>
      <c r="R78" s="204">
        <f>LookupData!$A$145</f>
        <v>10</v>
      </c>
      <c r="S78" s="4"/>
    </row>
    <row r="79" spans="2:19" ht="20.100000000000001" customHeight="1" x14ac:dyDescent="0.2">
      <c r="B79" s="190" t="str">
        <f>IF('Subcases Monthly'!B79="","",'Subcases Monthly'!B79)</f>
        <v/>
      </c>
      <c r="C79" s="461" t="str">
        <f>'Subcases Monthly'!C79:D79</f>
        <v>Probate Trust (SRS)</v>
      </c>
      <c r="D79" s="462"/>
      <c r="E79" s="98">
        <f>IF('Subcases Monthly'!E79="","",('Subcases Monthly'!E79*'Subcases Weighted Total (Auto)'!$R79))</f>
        <v>7</v>
      </c>
      <c r="F79" s="99">
        <f>IF('Subcases Monthly'!F79="","",('Subcases Monthly'!F79*'Subcases Weighted Total (Auto)'!$R79))</f>
        <v>7</v>
      </c>
      <c r="G79" s="99">
        <f>IF('Subcases Monthly'!G79="","",('Subcases Monthly'!G79*'Subcases Weighted Total (Auto)'!$R79))</f>
        <v>0</v>
      </c>
      <c r="H79" s="99">
        <f>IF('Subcases Monthly'!H79="","",('Subcases Monthly'!H79*'Subcases Weighted Total (Auto)'!$R79))</f>
        <v>0</v>
      </c>
      <c r="I79" s="99">
        <f>IF('Subcases Monthly'!I79="","",('Subcases Monthly'!I79*'Subcases Weighted Total (Auto)'!$R79))</f>
        <v>0</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14</v>
      </c>
      <c r="R79" s="204">
        <f>LookupData!$A$146</f>
        <v>7</v>
      </c>
      <c r="S79" s="4"/>
    </row>
    <row r="80" spans="2:19" ht="20.100000000000001" customHeight="1" x14ac:dyDescent="0.2">
      <c r="B80" s="190" t="str">
        <f>IF('Subcases Monthly'!B80="","",'Subcases Monthly'!B80)</f>
        <v/>
      </c>
      <c r="C80" s="461" t="str">
        <f>'Subcases Monthly'!C80:D80</f>
        <v>Baker Act (SRS)</v>
      </c>
      <c r="D80" s="462"/>
      <c r="E80" s="95">
        <f>IF('Subcases Monthly'!E80="","",('Subcases Monthly'!E80*'Subcases Weighted Total (Auto)'!$R80))</f>
        <v>252</v>
      </c>
      <c r="F80" s="96">
        <f>IF('Subcases Monthly'!F80="","",('Subcases Monthly'!F80*'Subcases Weighted Total (Auto)'!$R80))</f>
        <v>270</v>
      </c>
      <c r="G80" s="96">
        <f>IF('Subcases Monthly'!G80="","",('Subcases Monthly'!G80*'Subcases Weighted Total (Auto)'!$R80))</f>
        <v>0</v>
      </c>
      <c r="H80" s="96">
        <f>IF('Subcases Monthly'!H80="","",('Subcases Monthly'!H80*'Subcases Weighted Total (Auto)'!$R80))</f>
        <v>0</v>
      </c>
      <c r="I80" s="96">
        <f>IF('Subcases Monthly'!I80="","",('Subcases Monthly'!I80*'Subcases Weighted Total (Auto)'!$R80))</f>
        <v>0</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522</v>
      </c>
      <c r="R80" s="204">
        <f>LookupData!$A$147</f>
        <v>6</v>
      </c>
      <c r="S80" s="4"/>
    </row>
    <row r="81" spans="1:19" ht="20.100000000000001" customHeight="1" x14ac:dyDescent="0.2">
      <c r="B81" s="190" t="str">
        <f>IF('Subcases Monthly'!B81="","",'Subcases Monthly'!B81)</f>
        <v/>
      </c>
      <c r="C81" s="461" t="str">
        <f>'Subcases Monthly'!C81:D81</f>
        <v>Substance Abuse Act (SRS)</v>
      </c>
      <c r="D81" s="462"/>
      <c r="E81" s="98">
        <f>IF('Subcases Monthly'!E81="","",('Subcases Monthly'!E81*'Subcases Weighted Total (Auto)'!$R81))</f>
        <v>96</v>
      </c>
      <c r="F81" s="99">
        <f>IF('Subcases Monthly'!F81="","",('Subcases Monthly'!F81*'Subcases Weighted Total (Auto)'!$R81))</f>
        <v>120</v>
      </c>
      <c r="G81" s="99">
        <f>IF('Subcases Monthly'!G81="","",('Subcases Monthly'!G81*'Subcases Weighted Total (Auto)'!$R81))</f>
        <v>0</v>
      </c>
      <c r="H81" s="99">
        <f>IF('Subcases Monthly'!H81="","",('Subcases Monthly'!H81*'Subcases Weighted Total (Auto)'!$R81))</f>
        <v>0</v>
      </c>
      <c r="I81" s="99">
        <f>IF('Subcases Monthly'!I81="","",('Subcases Monthly'!I81*'Subcases Weighted Total (Auto)'!$R81))</f>
        <v>0</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216</v>
      </c>
      <c r="R81" s="204">
        <f>LookupData!$A$148</f>
        <v>6</v>
      </c>
      <c r="S81" s="4"/>
    </row>
    <row r="82" spans="1:19" ht="20.100000000000001" customHeight="1" x14ac:dyDescent="0.2">
      <c r="B82" s="190" t="str">
        <f>IF('Subcases Monthly'!B82="","",'Subcases Monthly'!B82)</f>
        <v/>
      </c>
      <c r="C82" s="461" t="str">
        <f>'Subcases Monthly'!C82:D82</f>
        <v>Other Social (SRS)</v>
      </c>
      <c r="D82" s="462"/>
      <c r="E82" s="95">
        <f>IF('Subcases Monthly'!E82="","",('Subcases Monthly'!E82*'Subcases Weighted Total (Auto)'!$R82))</f>
        <v>88</v>
      </c>
      <c r="F82" s="96">
        <f>IF('Subcases Monthly'!F82="","",('Subcases Monthly'!F82*'Subcases Weighted Total (Auto)'!$R82))</f>
        <v>36</v>
      </c>
      <c r="G82" s="96">
        <f>IF('Subcases Monthly'!G82="","",('Subcases Monthly'!G82*'Subcases Weighted Total (Auto)'!$R82))</f>
        <v>0</v>
      </c>
      <c r="H82" s="96">
        <f>IF('Subcases Monthly'!H82="","",('Subcases Monthly'!H82*'Subcases Weighted Total (Auto)'!$R82))</f>
        <v>0</v>
      </c>
      <c r="I82" s="96">
        <f>IF('Subcases Monthly'!I82="","",('Subcases Monthly'!I82*'Subcases Weighted Total (Auto)'!$R82))</f>
        <v>0</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124</v>
      </c>
      <c r="R82" s="204">
        <f>LookupData!$A$149</f>
        <v>4</v>
      </c>
      <c r="S82" s="4"/>
    </row>
    <row r="83" spans="1:19" ht="20.100000000000001" customHeight="1" x14ac:dyDescent="0.2">
      <c r="B83" s="190"/>
      <c r="C83" s="461" t="str">
        <f>'Subcases Monthly'!C83:D83</f>
        <v>Involuntary Civil Commitment of Sexually Violent Predators (SRS)</v>
      </c>
      <c r="D83" s="462"/>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61" t="str">
        <f>'Subcases Monthly'!C84:D84</f>
        <v>Risk Protection Orders (SRS)</v>
      </c>
      <c r="D84" s="462"/>
      <c r="E84" s="95">
        <f>IF('Subcases Monthly'!E84="","",('Subcases Monthly'!E84*'Subcases Weighted Total (Auto)'!$R84))</f>
        <v>18</v>
      </c>
      <c r="F84" s="96">
        <f>IF('Subcases Monthly'!F84="","",('Subcases Monthly'!F84*'Subcases Weighted Total (Auto)'!$R84))</f>
        <v>54</v>
      </c>
      <c r="G84" s="96">
        <f>IF('Subcases Monthly'!G84="","",('Subcases Monthly'!G84*'Subcases Weighted Total (Auto)'!$R84))</f>
        <v>0</v>
      </c>
      <c r="H84" s="96">
        <f>IF('Subcases Monthly'!H84="","",('Subcases Monthly'!H84*'Subcases Weighted Total (Auto)'!$R84))</f>
        <v>0</v>
      </c>
      <c r="I84" s="96">
        <f>IF('Subcases Monthly'!I84="","",('Subcases Monthly'!I84*'Subcases Weighted Total (Auto)'!$R84))</f>
        <v>0</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72</v>
      </c>
      <c r="R84" s="204">
        <f>LookupData!$A$151</f>
        <v>6</v>
      </c>
      <c r="S84" s="4"/>
    </row>
    <row r="85" spans="1:19" ht="20.100000000000001" customHeight="1" x14ac:dyDescent="0.2">
      <c r="B85" s="190" t="str">
        <f>IF('Subcases Monthly'!B85="","",'Subcases Monthly'!B85)</f>
        <v/>
      </c>
      <c r="C85" s="461" t="str">
        <f>'Subcases Monthly'!C85:D85</f>
        <v>Wills on Deposit (Non-SRS)</v>
      </c>
      <c r="D85" s="462"/>
      <c r="E85" s="98">
        <f>IF('Subcases Monthly'!E85="","",('Subcases Monthly'!E85*'Subcases Weighted Total (Auto)'!$R85))</f>
        <v>133</v>
      </c>
      <c r="F85" s="99">
        <f>IF('Subcases Monthly'!F85="","",('Subcases Monthly'!F85*'Subcases Weighted Total (Auto)'!$R85))</f>
        <v>136</v>
      </c>
      <c r="G85" s="99">
        <f>IF('Subcases Monthly'!G85="","",('Subcases Monthly'!G85*'Subcases Weighted Total (Auto)'!$R85))</f>
        <v>0</v>
      </c>
      <c r="H85" s="99">
        <f>IF('Subcases Monthly'!H85="","",('Subcases Monthly'!H85*'Subcases Weighted Total (Auto)'!$R85))</f>
        <v>0</v>
      </c>
      <c r="I85" s="99">
        <f>IF('Subcases Monthly'!I85="","",('Subcases Monthly'!I85*'Subcases Weighted Total (Auto)'!$R85))</f>
        <v>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269</v>
      </c>
      <c r="R85" s="204">
        <f>LookupData!$A$152</f>
        <v>1</v>
      </c>
      <c r="S85" s="4"/>
    </row>
    <row r="86" spans="1:19" ht="20.100000000000001" customHeight="1" x14ac:dyDescent="0.2">
      <c r="B86" s="190" t="str">
        <f>IF('Subcases Monthly'!B86="","",'Subcases Monthly'!B86)</f>
        <v/>
      </c>
      <c r="C86" s="461" t="str">
        <f>'Subcases Monthly'!C86:D86</f>
        <v>Pre-Need Guardianship (Non-SRS)</v>
      </c>
      <c r="D86" s="462"/>
      <c r="E86" s="95">
        <f>IF('Subcases Monthly'!E86="","",('Subcases Monthly'!E86*'Subcases Weighted Total (Auto)'!$R86))</f>
        <v>124</v>
      </c>
      <c r="F86" s="96">
        <f>IF('Subcases Monthly'!F86="","",('Subcases Monthly'!F86*'Subcases Weighted Total (Auto)'!$R86))</f>
        <v>128</v>
      </c>
      <c r="G86" s="96">
        <f>IF('Subcases Monthly'!G86="","",('Subcases Monthly'!G86*'Subcases Weighted Total (Auto)'!$R86))</f>
        <v>0</v>
      </c>
      <c r="H86" s="96">
        <f>IF('Subcases Monthly'!H86="","",('Subcases Monthly'!H86*'Subcases Weighted Total (Auto)'!$R86))</f>
        <v>0</v>
      </c>
      <c r="I86" s="96">
        <f>IF('Subcases Monthly'!I86="","",('Subcases Monthly'!I86*'Subcases Weighted Total (Auto)'!$R86))</f>
        <v>0</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252</v>
      </c>
      <c r="R86" s="204">
        <f>LookupData!$A$153</f>
        <v>1</v>
      </c>
      <c r="S86" s="4"/>
    </row>
    <row r="87" spans="1:19" ht="20.100000000000001" customHeight="1" x14ac:dyDescent="0.2">
      <c r="B87" s="190" t="str">
        <f>IF('Subcases Monthly'!B87="","",'Subcases Monthly'!B87)</f>
        <v/>
      </c>
      <c r="C87" s="461" t="str">
        <f>'Subcases Monthly'!C87:D87</f>
        <v>Notice of Trust (Non-SRS)</v>
      </c>
      <c r="D87" s="462"/>
      <c r="E87" s="98">
        <f>IF('Subcases Monthly'!E87="","",('Subcases Monthly'!E87*'Subcases Weighted Total (Auto)'!$R87))</f>
        <v>35</v>
      </c>
      <c r="F87" s="99">
        <f>IF('Subcases Monthly'!F87="","",('Subcases Monthly'!F87*'Subcases Weighted Total (Auto)'!$R87))</f>
        <v>38</v>
      </c>
      <c r="G87" s="99">
        <f>IF('Subcases Monthly'!G87="","",('Subcases Monthly'!G87*'Subcases Weighted Total (Auto)'!$R87))</f>
        <v>0</v>
      </c>
      <c r="H87" s="99">
        <f>IF('Subcases Monthly'!H87="","",('Subcases Monthly'!H87*'Subcases Weighted Total (Auto)'!$R87))</f>
        <v>0</v>
      </c>
      <c r="I87" s="99">
        <f>IF('Subcases Monthly'!I87="","",('Subcases Monthly'!I87*'Subcases Weighted Total (Auto)'!$R87))</f>
        <v>0</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73</v>
      </c>
      <c r="R87" s="204">
        <f>LookupData!$A$154</f>
        <v>1</v>
      </c>
      <c r="S87" s="4"/>
    </row>
    <row r="88" spans="1:19" ht="20.100000000000001" customHeight="1" x14ac:dyDescent="0.2">
      <c r="B88" s="190" t="str">
        <f>IF('Subcases Monthly'!B88="","",'Subcases Monthly'!B88)</f>
        <v/>
      </c>
      <c r="C88" s="461" t="str">
        <f>'Subcases Monthly'!C88:D88</f>
        <v>Petition to Open Safe Deposit Box (Non-SRS)</v>
      </c>
      <c r="D88" s="462"/>
      <c r="E88" s="95">
        <f>IF('Subcases Monthly'!E88="","",('Subcases Monthly'!E88*'Subcases Weighted Total (Auto)'!$R88))</f>
        <v>0</v>
      </c>
      <c r="F88" s="96">
        <f>IF('Subcases Monthly'!F88="","",('Subcases Monthly'!F88*'Subcases Weighted Total (Auto)'!$R88))</f>
        <v>2</v>
      </c>
      <c r="G88" s="96">
        <f>IF('Subcases Monthly'!G88="","",('Subcases Monthly'!G88*'Subcases Weighted Total (Auto)'!$R88))</f>
        <v>0</v>
      </c>
      <c r="H88" s="96">
        <f>IF('Subcases Monthly'!H88="","",('Subcases Monthly'!H88*'Subcases Weighted Total (Auto)'!$R88))</f>
        <v>0</v>
      </c>
      <c r="I88" s="96">
        <f>IF('Subcases Monthly'!I88="","",('Subcases Monthly'!I88*'Subcases Weighted Total (Auto)'!$R88))</f>
        <v>0</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2</v>
      </c>
      <c r="R88" s="204">
        <f>LookupData!$A$155</f>
        <v>2</v>
      </c>
      <c r="S88" s="4"/>
    </row>
    <row r="89" spans="1:19" ht="20.100000000000001" customHeight="1" x14ac:dyDescent="0.2">
      <c r="B89" s="190" t="str">
        <f>IF('Subcases Monthly'!B89="","",'Subcases Monthly'!B89)</f>
        <v/>
      </c>
      <c r="C89" s="461" t="str">
        <f>'Subcases Monthly'!C89:D89</f>
        <v>Caveat (Non-SRS)</v>
      </c>
      <c r="D89" s="462"/>
      <c r="E89" s="98">
        <f>IF('Subcases Monthly'!E89="","",('Subcases Monthly'!E89*'Subcases Weighted Total (Auto)'!$R89))</f>
        <v>12</v>
      </c>
      <c r="F89" s="99">
        <f>IF('Subcases Monthly'!F89="","",('Subcases Monthly'!F89*'Subcases Weighted Total (Auto)'!$R89))</f>
        <v>14</v>
      </c>
      <c r="G89" s="99">
        <f>IF('Subcases Monthly'!G89="","",('Subcases Monthly'!G89*'Subcases Weighted Total (Auto)'!$R89))</f>
        <v>0</v>
      </c>
      <c r="H89" s="99">
        <f>IF('Subcases Monthly'!H89="","",('Subcases Monthly'!H89*'Subcases Weighted Total (Auto)'!$R89))</f>
        <v>0</v>
      </c>
      <c r="I89" s="99">
        <f>IF('Subcases Monthly'!I89="","",('Subcases Monthly'!I89*'Subcases Weighted Total (Auto)'!$R89))</f>
        <v>0</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26</v>
      </c>
      <c r="R89" s="204">
        <f>LookupData!$A$156</f>
        <v>2</v>
      </c>
      <c r="S89" s="4"/>
    </row>
    <row r="90" spans="1:19" ht="20.100000000000001" customHeight="1" x14ac:dyDescent="0.2">
      <c r="B90" s="190" t="str">
        <f>IF('Subcases Monthly'!B90="","",'Subcases Monthly'!B90)</f>
        <v/>
      </c>
      <c r="C90" s="461" t="str">
        <f>'Subcases Monthly'!C90:D90</f>
        <v>Petition to Gain Entry to Apartment of Dwelling (Non-SRS)</v>
      </c>
      <c r="D90" s="462"/>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61" t="str">
        <f>'Subcases Monthly'!C91:D91</f>
        <v>Cert of Person's Imminent Dangerousness (Non-SRS)</v>
      </c>
      <c r="D91" s="462"/>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61" t="str">
        <f>'Subcases Monthly'!C92:D92</f>
        <v>Vulnerable Adults (SRS)</v>
      </c>
      <c r="D92" s="462"/>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6</v>
      </c>
      <c r="R92" s="238">
        <f>LookupData!$A$159</f>
        <v>6</v>
      </c>
      <c r="S92" s="4"/>
    </row>
    <row r="93" spans="1:19" ht="20.100000000000001" customHeight="1" thickBot="1" x14ac:dyDescent="0.25">
      <c r="B93" s="191"/>
      <c r="C93" s="469" t="str">
        <f>'Subcases Monthly'!C93:D93</f>
        <v>Cases unable to be categorized</v>
      </c>
      <c r="D93" s="470"/>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1" t="str">
        <f>'Subcases Monthly'!C94:D94</f>
        <v>Total Probate =</v>
      </c>
      <c r="D94" s="472"/>
      <c r="E94" s="200">
        <f t="shared" ref="E94:P94" si="21">SUM(E77:E93)</f>
        <v>2452</v>
      </c>
      <c r="F94" s="201">
        <f t="shared" si="21"/>
        <v>2243</v>
      </c>
      <c r="G94" s="201">
        <f t="shared" si="21"/>
        <v>0</v>
      </c>
      <c r="H94" s="201">
        <f t="shared" si="21"/>
        <v>0</v>
      </c>
      <c r="I94" s="201">
        <f t="shared" si="21"/>
        <v>0</v>
      </c>
      <c r="J94" s="201">
        <f t="shared" si="21"/>
        <v>0</v>
      </c>
      <c r="K94" s="201">
        <f t="shared" si="21"/>
        <v>0</v>
      </c>
      <c r="L94" s="201">
        <f t="shared" si="21"/>
        <v>0</v>
      </c>
      <c r="M94" s="201">
        <f t="shared" si="21"/>
        <v>0</v>
      </c>
      <c r="N94" s="201">
        <f t="shared" si="21"/>
        <v>0</v>
      </c>
      <c r="O94" s="201">
        <f t="shared" si="21"/>
        <v>0</v>
      </c>
      <c r="P94" s="202">
        <f t="shared" si="21"/>
        <v>0</v>
      </c>
      <c r="Q94" s="73">
        <f t="shared" si="20"/>
        <v>4695</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4" t="str">
        <f>'Subcases Monthly'!C97:D97</f>
        <v>Simplified Dissolution (SRS)</v>
      </c>
      <c r="D97" s="475"/>
      <c r="E97" s="92">
        <f>IF('Subcases Monthly'!E97="","",('Subcases Monthly'!E97*'Subcases Weighted Total (Auto)'!$R97))</f>
        <v>92</v>
      </c>
      <c r="F97" s="93">
        <f>IF('Subcases Monthly'!F97="","",('Subcases Monthly'!F97*'Subcases Weighted Total (Auto)'!$R97))</f>
        <v>84</v>
      </c>
      <c r="G97" s="93">
        <f>IF('Subcases Monthly'!G97="","",('Subcases Monthly'!G97*'Subcases Weighted Total (Auto)'!$R97))</f>
        <v>0</v>
      </c>
      <c r="H97" s="93">
        <f>IF('Subcases Monthly'!H97="","",('Subcases Monthly'!H97*'Subcases Weighted Total (Auto)'!$R97))</f>
        <v>0</v>
      </c>
      <c r="I97" s="93">
        <f>IF('Subcases Monthly'!I97="","",('Subcases Monthly'!I97*'Subcases Weighted Total (Auto)'!$R97))</f>
        <v>0</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176</v>
      </c>
      <c r="R97" s="203">
        <f>LookupData!$A$162</f>
        <v>4</v>
      </c>
      <c r="S97" s="4"/>
    </row>
    <row r="98" spans="1:19" ht="20.100000000000001" customHeight="1" x14ac:dyDescent="0.2">
      <c r="A98" s="8"/>
      <c r="B98" s="190" t="str">
        <f>IF('Subcases Monthly'!B98="","",'Subcases Monthly'!B98)</f>
        <v/>
      </c>
      <c r="C98" s="461" t="str">
        <f>'Subcases Monthly'!C98:D98</f>
        <v>Dissolution (SRS)</v>
      </c>
      <c r="D98" s="462"/>
      <c r="E98" s="95">
        <f>IF('Subcases Monthly'!E98="","",('Subcases Monthly'!E98*'Subcases Weighted Total (Auto)'!$R98))</f>
        <v>1404</v>
      </c>
      <c r="F98" s="96">
        <f>IF('Subcases Monthly'!F98="","",('Subcases Monthly'!F98*'Subcases Weighted Total (Auto)'!$R98))</f>
        <v>1179</v>
      </c>
      <c r="G98" s="96">
        <f>IF('Subcases Monthly'!G98="","",('Subcases Monthly'!G98*'Subcases Weighted Total (Auto)'!$R98))</f>
        <v>0</v>
      </c>
      <c r="H98" s="96">
        <f>IF('Subcases Monthly'!H98="","",('Subcases Monthly'!H98*'Subcases Weighted Total (Auto)'!$R98))</f>
        <v>0</v>
      </c>
      <c r="I98" s="96">
        <f>IF('Subcases Monthly'!I98="","",('Subcases Monthly'!I98*'Subcases Weighted Total (Auto)'!$R98))</f>
        <v>0</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2583</v>
      </c>
      <c r="R98" s="204">
        <f>LookupData!$A$163</f>
        <v>9</v>
      </c>
      <c r="S98" s="4"/>
    </row>
    <row r="99" spans="1:19" ht="20.100000000000001" customHeight="1" x14ac:dyDescent="0.2">
      <c r="A99" s="8"/>
      <c r="B99" s="190" t="str">
        <f>IF('Subcases Monthly'!B99="","",'Subcases Monthly'!B99)</f>
        <v/>
      </c>
      <c r="C99" s="461" t="str">
        <f>'Subcases Monthly'!C99:D99</f>
        <v>Injunctions for Protection (SRS)</v>
      </c>
      <c r="D99" s="462"/>
      <c r="E99" s="98">
        <f>IF('Subcases Monthly'!E99="","",('Subcases Monthly'!E99*'Subcases Weighted Total (Auto)'!$R99))</f>
        <v>1050</v>
      </c>
      <c r="F99" s="99">
        <f>IF('Subcases Monthly'!F99="","",('Subcases Monthly'!F99*'Subcases Weighted Total (Auto)'!$R99))</f>
        <v>876</v>
      </c>
      <c r="G99" s="99">
        <f>IF('Subcases Monthly'!G99="","",('Subcases Monthly'!G99*'Subcases Weighted Total (Auto)'!$R99))</f>
        <v>0</v>
      </c>
      <c r="H99" s="99">
        <f>IF('Subcases Monthly'!H99="","",('Subcases Monthly'!H99*'Subcases Weighted Total (Auto)'!$R99))</f>
        <v>0</v>
      </c>
      <c r="I99" s="99">
        <f>IF('Subcases Monthly'!I99="","",('Subcases Monthly'!I99*'Subcases Weighted Total (Auto)'!$R99))</f>
        <v>0</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1926</v>
      </c>
      <c r="R99" s="204">
        <f>LookupData!$A$164</f>
        <v>6</v>
      </c>
      <c r="S99" s="4"/>
    </row>
    <row r="100" spans="1:19" ht="20.100000000000001" customHeight="1" x14ac:dyDescent="0.2">
      <c r="A100" s="8"/>
      <c r="B100" s="190" t="str">
        <f>IF('Subcases Monthly'!B100="","",'Subcases Monthly'!B100)</f>
        <v/>
      </c>
      <c r="C100" s="461" t="str">
        <f>'Subcases Monthly'!C100:D100</f>
        <v>Support (IV-D and Non IV-D) (SRS)</v>
      </c>
      <c r="D100" s="462"/>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0</v>
      </c>
      <c r="H100" s="96">
        <f>IF('Subcases Monthly'!H100="","",('Subcases Monthly'!H100*'Subcases Weighted Total (Auto)'!$R100))</f>
        <v>0</v>
      </c>
      <c r="I100" s="96">
        <f>IF('Subcases Monthly'!I100="","",('Subcases Monthly'!I100*'Subcases Weighted Total (Auto)'!$R100))</f>
        <v>0</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160</v>
      </c>
      <c r="R100" s="204">
        <f>LookupData!$A$165</f>
        <v>8</v>
      </c>
      <c r="S100" s="4"/>
    </row>
    <row r="101" spans="1:19" ht="20.100000000000001" customHeight="1" x14ac:dyDescent="0.2">
      <c r="A101" s="8"/>
      <c r="B101" s="190" t="str">
        <f>IF('Subcases Monthly'!B101="","",'Subcases Monthly'!B101)</f>
        <v/>
      </c>
      <c r="C101" s="461" t="str">
        <f>'Subcases Monthly'!C101:D101</f>
        <v>UIFSA (IV-D and Non IV-D) (SRS)</v>
      </c>
      <c r="D101" s="462"/>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0</v>
      </c>
      <c r="H101" s="99">
        <f>IF('Subcases Monthly'!H101="","",('Subcases Monthly'!H101*'Subcases Weighted Total (Auto)'!$R101))</f>
        <v>0</v>
      </c>
      <c r="I101" s="99">
        <f>IF('Subcases Monthly'!I101="","",('Subcases Monthly'!I101*'Subcases Weighted Total (Auto)'!$R101))</f>
        <v>0</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12</v>
      </c>
      <c r="R101" s="204">
        <f>LookupData!$A$166</f>
        <v>6</v>
      </c>
      <c r="S101" s="4"/>
    </row>
    <row r="102" spans="1:19" ht="20.100000000000001" customHeight="1" x14ac:dyDescent="0.2">
      <c r="A102" s="8"/>
      <c r="B102" s="190" t="str">
        <f>IF('Subcases Monthly'!B102="","",'Subcases Monthly'!B102)</f>
        <v/>
      </c>
      <c r="C102" s="461" t="str">
        <f>'Subcases Monthly'!C102:D102</f>
        <v>Other Family Court (SRS)</v>
      </c>
      <c r="D102" s="462"/>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0</v>
      </c>
      <c r="H102" s="96">
        <f>IF('Subcases Monthly'!H102="","",('Subcases Monthly'!H102*'Subcases Weighted Total (Auto)'!$R102))</f>
        <v>0</v>
      </c>
      <c r="I102" s="96">
        <f>IF('Subcases Monthly'!I102="","",('Subcases Monthly'!I102*'Subcases Weighted Total (Auto)'!$R102))</f>
        <v>0</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135</v>
      </c>
      <c r="R102" s="204">
        <f>LookupData!$A$167</f>
        <v>5</v>
      </c>
      <c r="S102" s="4"/>
    </row>
    <row r="103" spans="1:19" ht="20.100000000000001" customHeight="1" x14ac:dyDescent="0.2">
      <c r="A103" s="8"/>
      <c r="B103" s="190" t="str">
        <f>IF('Subcases Monthly'!B103="","",'Subcases Monthly'!B103)</f>
        <v/>
      </c>
      <c r="C103" s="461" t="str">
        <f>'Subcases Monthly'!C103:D103</f>
        <v>Adoption Arising out of Chapter 63 (SRS)</v>
      </c>
      <c r="D103" s="462"/>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0</v>
      </c>
      <c r="H103" s="99">
        <f>IF('Subcases Monthly'!H103="","",('Subcases Monthly'!H103*'Subcases Weighted Total (Auto)'!$R103))</f>
        <v>0</v>
      </c>
      <c r="I103" s="99">
        <f>IF('Subcases Monthly'!I103="","",('Subcases Monthly'!I103*'Subcases Weighted Total (Auto)'!$R103))</f>
        <v>0</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148</v>
      </c>
      <c r="R103" s="204">
        <f>LookupData!$A$168</f>
        <v>4</v>
      </c>
      <c r="S103" s="4"/>
    </row>
    <row r="104" spans="1:19" ht="20.100000000000001" customHeight="1" x14ac:dyDescent="0.2">
      <c r="A104" s="8"/>
      <c r="B104" s="190" t="str">
        <f>IF('Subcases Monthly'!B104="","",'Subcases Monthly'!B104)</f>
        <v/>
      </c>
      <c r="C104" s="461" t="str">
        <f>'Subcases Monthly'!C104:D104</f>
        <v>Name Change (SRS)</v>
      </c>
      <c r="D104" s="462"/>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0</v>
      </c>
      <c r="H104" s="96">
        <f>IF('Subcases Monthly'!H104="","",('Subcases Monthly'!H104*'Subcases Weighted Total (Auto)'!$R104))</f>
        <v>0</v>
      </c>
      <c r="I104" s="96">
        <f>IF('Subcases Monthly'!I104="","",('Subcases Monthly'!I104*'Subcases Weighted Total (Auto)'!$R104))</f>
        <v>0</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195</v>
      </c>
      <c r="R104" s="204">
        <f>LookupData!$A$169</f>
        <v>5</v>
      </c>
      <c r="S104" s="4"/>
    </row>
    <row r="105" spans="1:19" ht="20.100000000000001" customHeight="1" x14ac:dyDescent="0.2">
      <c r="A105" s="8"/>
      <c r="B105" s="190" t="str">
        <f>IF('Subcases Monthly'!B105="","",'Subcases Monthly'!B105)</f>
        <v/>
      </c>
      <c r="C105" s="461" t="str">
        <f>'Subcases Monthly'!C105:D105</f>
        <v>Paternity/Disestablishment of Paternity (SRS)</v>
      </c>
      <c r="D105" s="462"/>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0</v>
      </c>
      <c r="H105" s="99">
        <f>IF('Subcases Monthly'!H105="","",('Subcases Monthly'!H105*'Subcases Weighted Total (Auto)'!$R105))</f>
        <v>0</v>
      </c>
      <c r="I105" s="99">
        <f>IF('Subcases Monthly'!I105="","",('Subcases Monthly'!I105*'Subcases Weighted Total (Auto)'!$R105))</f>
        <v>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273</v>
      </c>
      <c r="R105" s="204">
        <f>LookupData!$A$170</f>
        <v>7</v>
      </c>
      <c r="S105" s="4"/>
    </row>
    <row r="106" spans="1:19" ht="20.100000000000001" customHeight="1" x14ac:dyDescent="0.2">
      <c r="A106" s="8"/>
      <c r="B106" s="190" t="str">
        <f>IF('Subcases Monthly'!B106="","",'Subcases Monthly'!B106)</f>
        <v/>
      </c>
      <c r="C106" s="461" t="str">
        <f>'Subcases Monthly'!C106:D106</f>
        <v>New Cases (Non-SRS)</v>
      </c>
      <c r="D106" s="462"/>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0</v>
      </c>
      <c r="H106" s="96">
        <f>IF('Subcases Monthly'!H106="","",('Subcases Monthly'!H106*'Subcases Weighted Total (Auto)'!$R106))</f>
        <v>0</v>
      </c>
      <c r="I106" s="96">
        <f>IF('Subcases Monthly'!I106="","",('Subcases Monthly'!I106*'Subcases Weighted Total (Auto)'!$R106))</f>
        <v>0</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104</v>
      </c>
      <c r="R106" s="238">
        <f>LookupData!$A$171</f>
        <v>2</v>
      </c>
      <c r="S106" s="4"/>
    </row>
    <row r="107" spans="1:19" ht="20.100000000000001" customHeight="1" thickBot="1" x14ac:dyDescent="0.25">
      <c r="A107" s="8"/>
      <c r="B107" s="191"/>
      <c r="C107" s="469" t="str">
        <f>'Subcases Monthly'!C107:D107</f>
        <v>Cases unable to be categorized</v>
      </c>
      <c r="D107" s="470"/>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1" t="str">
        <f>'Subcases Monthly'!C108:D108</f>
        <v>Total Family =</v>
      </c>
      <c r="D108" s="472"/>
      <c r="E108" s="200">
        <f>SUM(E97:E107)</f>
        <v>3064</v>
      </c>
      <c r="F108" s="201">
        <f t="shared" ref="F108:P108" si="24">SUM(F97:F107)</f>
        <v>2648</v>
      </c>
      <c r="G108" s="201">
        <f t="shared" si="24"/>
        <v>0</v>
      </c>
      <c r="H108" s="201">
        <f t="shared" si="24"/>
        <v>0</v>
      </c>
      <c r="I108" s="201">
        <f t="shared" si="24"/>
        <v>0</v>
      </c>
      <c r="J108" s="201">
        <f t="shared" si="24"/>
        <v>0</v>
      </c>
      <c r="K108" s="201">
        <f t="shared" si="24"/>
        <v>0</v>
      </c>
      <c r="L108" s="201">
        <f t="shared" si="24"/>
        <v>0</v>
      </c>
      <c r="M108" s="201">
        <f t="shared" si="24"/>
        <v>0</v>
      </c>
      <c r="N108" s="201">
        <f t="shared" si="24"/>
        <v>0</v>
      </c>
      <c r="O108" s="201">
        <f t="shared" si="24"/>
        <v>0</v>
      </c>
      <c r="P108" s="202">
        <f t="shared" si="24"/>
        <v>0</v>
      </c>
      <c r="Q108" s="69">
        <f t="shared" si="23"/>
        <v>5712</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4" t="str">
        <f>'Subcases Monthly'!C111:D111</f>
        <v>Dependency Initiating Petitions (SRS)</v>
      </c>
      <c r="D111" s="475"/>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0</v>
      </c>
      <c r="H111" s="93">
        <f>IF('Subcases Monthly'!H111="","",('Subcases Monthly'!H111*'Subcases Weighted Total (Auto)'!$R111))</f>
        <v>0</v>
      </c>
      <c r="I111" s="93">
        <f>IF('Subcases Monthly'!I111="","",('Subcases Monthly'!I111*'Subcases Weighted Total (Auto)'!$R111))</f>
        <v>0</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297</v>
      </c>
      <c r="R111" s="203">
        <f>LookupData!$A$174</f>
        <v>9</v>
      </c>
      <c r="S111" s="4"/>
    </row>
    <row r="112" spans="1:19" ht="20.100000000000001" customHeight="1" x14ac:dyDescent="0.2">
      <c r="B112" s="190" t="str">
        <f>IF('Subcases Monthly'!B112="","",'Subcases Monthly'!B112)</f>
        <v/>
      </c>
      <c r="C112" s="461" t="str">
        <f>'Subcases Monthly'!C112:D112</f>
        <v>Petitions to Remove Disabilities of Non-Age Minors (743.015) (SRS)</v>
      </c>
      <c r="D112" s="462"/>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0</v>
      </c>
      <c r="R112" s="204">
        <f>LookupData!$A$175</f>
        <v>3</v>
      </c>
      <c r="S112" s="4"/>
    </row>
    <row r="113" spans="1:19" ht="20.100000000000001" customHeight="1" x14ac:dyDescent="0.2">
      <c r="B113" s="190" t="str">
        <f>IF('Subcases Monthly'!B113="","",'Subcases Monthly'!B113)</f>
        <v/>
      </c>
      <c r="C113" s="461" t="str">
        <f>'Subcases Monthly'!C113:D113</f>
        <v>CINS/FINS (SRS)</v>
      </c>
      <c r="D113" s="462"/>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61" t="str">
        <f>'Subcases Monthly'!C114:D114</f>
        <v>Parental Notice of Abortion Act (SRS)</v>
      </c>
      <c r="D114" s="462"/>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0</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0</v>
      </c>
      <c r="R114" s="204">
        <f>LookupData!$A$177</f>
        <v>3</v>
      </c>
      <c r="S114" s="4"/>
    </row>
    <row r="115" spans="1:19" ht="20.100000000000001" customHeight="1" x14ac:dyDescent="0.2">
      <c r="B115" s="190" t="str">
        <f>IF('Subcases Monthly'!B115="","",'Subcases Monthly'!B115)</f>
        <v/>
      </c>
      <c r="C115" s="461" t="str">
        <f>'Subcases Monthly'!C115:D115</f>
        <v>Truancy (Non-SRS)</v>
      </c>
      <c r="D115" s="462"/>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0</v>
      </c>
      <c r="H115" s="99">
        <f>IF('Subcases Monthly'!H115="","",('Subcases Monthly'!H115*'Subcases Weighted Total (Auto)'!$R115))</f>
        <v>0</v>
      </c>
      <c r="I115" s="99">
        <f>IF('Subcases Monthly'!I115="","",('Subcases Monthly'!I115*'Subcases Weighted Total (Auto)'!$R115))</f>
        <v>0</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20</v>
      </c>
      <c r="R115" s="204">
        <f>LookupData!$A$178</f>
        <v>4</v>
      </c>
      <c r="S115" s="4"/>
    </row>
    <row r="116" spans="1:19" ht="20.100000000000001" customHeight="1" x14ac:dyDescent="0.2">
      <c r="B116" s="190" t="str">
        <f>IF('Subcases Monthly'!B116="","",'Subcases Monthly'!B116)</f>
        <v/>
      </c>
      <c r="C116" s="461" t="str">
        <f>'Subcases Monthly'!C116:D116</f>
        <v>Transfers for Jurisdiction/Supervision Only (Non-SRS)</v>
      </c>
      <c r="D116" s="462"/>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61" t="str">
        <f>'Subcases Monthly'!C117:D117</f>
        <v>DCF Dependency Petition for Injunction per Chapter 39 (Non-SRS)</v>
      </c>
      <c r="D117" s="462"/>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61" t="str">
        <f>'Subcases Monthly'!C118:D118</f>
        <v>Other New Cases (Non-SRS)</v>
      </c>
      <c r="D118" s="462"/>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69" t="str">
        <f>'Subcases Monthly'!C119:D119</f>
        <v>Cases unable to be categorized</v>
      </c>
      <c r="D119" s="470"/>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1" t="str">
        <f>'Subcases Monthly'!C120:D120</f>
        <v>Total Juvenile Dependency =</v>
      </c>
      <c r="D120" s="472"/>
      <c r="E120" s="200">
        <f>SUM(E111:E119)</f>
        <v>147</v>
      </c>
      <c r="F120" s="201">
        <f t="shared" ref="F120:P120" si="27">SUM(F111:F119)</f>
        <v>170</v>
      </c>
      <c r="G120" s="201">
        <f t="shared" si="27"/>
        <v>0</v>
      </c>
      <c r="H120" s="201">
        <f t="shared" si="27"/>
        <v>0</v>
      </c>
      <c r="I120" s="201">
        <f t="shared" si="27"/>
        <v>0</v>
      </c>
      <c r="J120" s="201">
        <f t="shared" si="27"/>
        <v>0</v>
      </c>
      <c r="K120" s="201">
        <f t="shared" si="27"/>
        <v>0</v>
      </c>
      <c r="L120" s="201">
        <f t="shared" si="27"/>
        <v>0</v>
      </c>
      <c r="M120" s="201">
        <f t="shared" si="27"/>
        <v>0</v>
      </c>
      <c r="N120" s="201">
        <f t="shared" si="27"/>
        <v>0</v>
      </c>
      <c r="O120" s="201">
        <f t="shared" si="27"/>
        <v>0</v>
      </c>
      <c r="P120" s="202">
        <f t="shared" si="27"/>
        <v>0</v>
      </c>
      <c r="Q120" s="110">
        <f t="shared" si="26"/>
        <v>317</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67" t="str">
        <f>'Subcases Monthly'!C123:D123</f>
        <v>Uniform Traffic Citations</v>
      </c>
      <c r="D123" s="468"/>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0</v>
      </c>
      <c r="H123" s="183">
        <f>IF('Subcases Monthly'!H123="","",('Subcases Monthly'!H123*'Subcases Weighted Total (Auto)'!$R123))</f>
        <v>0</v>
      </c>
      <c r="I123" s="183">
        <f>IF('Subcases Monthly'!I123="","",('Subcases Monthly'!I123*'Subcases Weighted Total (Auto)'!$R123))</f>
        <v>0</v>
      </c>
      <c r="J123" s="183">
        <f>IF('Subcases Monthly'!J123="","",('Subcases Monthly'!J123*'Subcases Weighted Total (Auto)'!$R123))</f>
        <v>0</v>
      </c>
      <c r="K123" s="183">
        <f>IF('Subcases Monthly'!K123="","",('Subcases Monthly'!K123*'Subcases Weighted Total (Auto)'!$R123))</f>
        <v>0</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10428</v>
      </c>
      <c r="R123" s="181">
        <f>LookupData!$A$184</f>
        <v>1.5</v>
      </c>
      <c r="S123" s="4"/>
    </row>
    <row r="124" spans="1:19" ht="20.100000000000001" customHeight="1" thickTop="1" thickBot="1" x14ac:dyDescent="0.25">
      <c r="B124" s="194" t="str">
        <f>IF('Subcases Monthly'!B124="","",'Subcases Monthly'!B124)</f>
        <v/>
      </c>
      <c r="C124" s="465" t="str">
        <f>'Subcases Monthly'!C124:D124</f>
        <v>Total Civil Traffic - UTCs =</v>
      </c>
      <c r="D124" s="466"/>
      <c r="E124" s="76">
        <f t="shared" ref="E124:P124" si="30">SUM(E123:E123)</f>
        <v>4890</v>
      </c>
      <c r="F124" s="64">
        <f t="shared" si="30"/>
        <v>5538</v>
      </c>
      <c r="G124" s="64">
        <f t="shared" si="30"/>
        <v>0</v>
      </c>
      <c r="H124" s="64">
        <f t="shared" si="30"/>
        <v>0</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10428</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November</v>
      </c>
      <c r="C9" s="43" t="str">
        <f>IF('Subcases Monthly'!H4="",TEXT(EDATE(B5,-1),"MMMM"),'Subcases Monthly'!H4)</f>
        <v>November</v>
      </c>
      <c r="G9" s="47">
        <v>8</v>
      </c>
      <c r="L9" s="48"/>
    </row>
    <row r="10" spans="1:15" x14ac:dyDescent="0.25">
      <c r="A10" s="49" t="s">
        <v>115</v>
      </c>
      <c r="B10" s="43" t="str">
        <f>E1&amp;" "&amp;B1&amp;" "&amp;B9&amp;" Ver"&amp;B8&amp;" "&amp;TEXT(B5,"Mmddyy")&amp;".xlsx"</f>
        <v>Brevard Outputs November VerCarol Vail  012025.xlsx</v>
      </c>
      <c r="G10" s="47">
        <v>9</v>
      </c>
      <c r="L10" s="48"/>
    </row>
    <row r="11" spans="1:15" x14ac:dyDescent="0.25">
      <c r="A11" s="49" t="s">
        <v>117</v>
      </c>
      <c r="B11" s="43" t="str">
        <f>"R:\!CFY"&amp;(N2-2000)&amp;""&amp;(N2-1999)&amp;"\Incoming Reports\Outputs\"&amp;B9&amp;"\"</f>
        <v>R:\!CFY2425\Incoming Reports\Outputs\November\</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0</v>
      </c>
      <c r="J21" s="187">
        <f>'Subcases Monthly'!H11</f>
        <v>0</v>
      </c>
      <c r="K21" s="187">
        <f>'Subcases Monthly'!I11</f>
        <v>0</v>
      </c>
      <c r="L21" s="187">
        <f>'Subcases Monthly'!J11</f>
        <v>0</v>
      </c>
      <c r="M21" s="187">
        <f>'Subcases Monthly'!K11</f>
        <v>0</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0</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0</v>
      </c>
      <c r="J23" s="187">
        <f>'Subcases Monthly'!H13</f>
        <v>0</v>
      </c>
      <c r="K23" s="187">
        <f>'Subcases Monthly'!I13</f>
        <v>0</v>
      </c>
      <c r="L23" s="187">
        <f>'Subcases Monthly'!J13</f>
        <v>0</v>
      </c>
      <c r="M23" s="187">
        <f>'Subcases Monthly'!K13</f>
        <v>0</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0</v>
      </c>
      <c r="J25" s="187">
        <f>'Subcases Monthly'!H18</f>
        <v>0</v>
      </c>
      <c r="K25" s="187">
        <f>'Subcases Monthly'!I18</f>
        <v>0</v>
      </c>
      <c r="L25" s="187">
        <f>'Subcases Monthly'!J18</f>
        <v>0</v>
      </c>
      <c r="M25" s="187">
        <f>'Subcases Monthly'!K18</f>
        <v>0</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0</v>
      </c>
      <c r="J26" s="187">
        <f>'Subcases Monthly'!H19</f>
        <v>0</v>
      </c>
      <c r="K26" s="187">
        <f>'Subcases Monthly'!I19</f>
        <v>0</v>
      </c>
      <c r="L26" s="187">
        <f>'Subcases Monthly'!J19</f>
        <v>0</v>
      </c>
      <c r="M26" s="187">
        <f>'Subcases Monthly'!K19</f>
        <v>0</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0</v>
      </c>
      <c r="J27" s="187">
        <f>'Subcases Monthly'!H20</f>
        <v>0</v>
      </c>
      <c r="K27" s="187">
        <f>'Subcases Monthly'!I20</f>
        <v>0</v>
      </c>
      <c r="L27" s="187">
        <f>'Subcases Monthly'!J20</f>
        <v>0</v>
      </c>
      <c r="M27" s="187">
        <f>'Subcases Monthly'!K20</f>
        <v>0</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0</v>
      </c>
      <c r="J29" s="187">
        <f>'Subcases Monthly'!H22</f>
        <v>0</v>
      </c>
      <c r="K29" s="187">
        <f>'Subcases Monthly'!I22</f>
        <v>0</v>
      </c>
      <c r="L29" s="187">
        <f>'Subcases Monthly'!J22</f>
        <v>0</v>
      </c>
      <c r="M29" s="187">
        <f>'Subcases Monthly'!K22</f>
        <v>0</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0</v>
      </c>
      <c r="J30" s="187">
        <f>'Subcases Monthly'!H26</f>
        <v>0</v>
      </c>
      <c r="K30" s="187">
        <f>'Subcases Monthly'!I26</f>
        <v>0</v>
      </c>
      <c r="L30" s="187">
        <f>'Subcases Monthly'!J26</f>
        <v>0</v>
      </c>
      <c r="M30" s="187">
        <f>'Subcases Monthly'!K26</f>
        <v>0</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0</v>
      </c>
      <c r="J31" s="187">
        <f>'Subcases Monthly'!H27</f>
        <v>0</v>
      </c>
      <c r="K31" s="187">
        <f>'Subcases Monthly'!I27</f>
        <v>0</v>
      </c>
      <c r="L31" s="187">
        <f>'Subcases Monthly'!J27</f>
        <v>0</v>
      </c>
      <c r="M31" s="187">
        <f>'Subcases Monthly'!K27</f>
        <v>0</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0</v>
      </c>
      <c r="J32" s="187">
        <f>'Subcases Monthly'!H28</f>
        <v>0</v>
      </c>
      <c r="K32" s="187">
        <f>'Subcases Monthly'!I28</f>
        <v>0</v>
      </c>
      <c r="L32" s="187">
        <f>'Subcases Monthly'!J28</f>
        <v>0</v>
      </c>
      <c r="M32" s="187">
        <f>'Subcases Monthly'!K28</f>
        <v>0</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0</v>
      </c>
      <c r="J34" s="187">
        <f>'Subcases Monthly'!H33</f>
        <v>0</v>
      </c>
      <c r="K34" s="187">
        <f>'Subcases Monthly'!I33</f>
        <v>0</v>
      </c>
      <c r="L34" s="187">
        <f>'Subcases Monthly'!J33</f>
        <v>0</v>
      </c>
      <c r="M34" s="187">
        <f>'Subcases Monthly'!K33</f>
        <v>0</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0</v>
      </c>
      <c r="J35" s="187">
        <f>'Subcases Monthly'!H34</f>
        <v>0</v>
      </c>
      <c r="K35" s="187">
        <f>'Subcases Monthly'!I34</f>
        <v>0</v>
      </c>
      <c r="L35" s="187">
        <f>'Subcases Monthly'!J34</f>
        <v>0</v>
      </c>
      <c r="M35" s="187">
        <f>'Subcases Monthly'!K34</f>
        <v>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0</v>
      </c>
      <c r="J37" s="187">
        <f>'Subcases Monthly'!H39</f>
        <v>0</v>
      </c>
      <c r="K37" s="187">
        <f>'Subcases Monthly'!I39</f>
        <v>0</v>
      </c>
      <c r="L37" s="187">
        <f>'Subcases Monthly'!J39</f>
        <v>0</v>
      </c>
      <c r="M37" s="187">
        <f>'Subcases Monthly'!K39</f>
        <v>0</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0</v>
      </c>
      <c r="J38" s="187">
        <f>'Subcases Monthly'!H40</f>
        <v>0</v>
      </c>
      <c r="K38" s="187">
        <f>'Subcases Monthly'!I40</f>
        <v>0</v>
      </c>
      <c r="L38" s="187">
        <f>'Subcases Monthly'!J40</f>
        <v>0</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0</v>
      </c>
      <c r="J39" s="187">
        <f>'Subcases Monthly'!H41</f>
        <v>0</v>
      </c>
      <c r="K39" s="187">
        <f>'Subcases Monthly'!I41</f>
        <v>0</v>
      </c>
      <c r="L39" s="187">
        <f>'Subcases Monthly'!J41</f>
        <v>0</v>
      </c>
      <c r="M39" s="187">
        <f>'Subcases Monthly'!K41</f>
        <v>0</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0</v>
      </c>
      <c r="J40" s="187">
        <f>'Subcases Monthly'!H42</f>
        <v>0</v>
      </c>
      <c r="K40" s="187">
        <f>'Subcases Monthly'!I42</f>
        <v>0</v>
      </c>
      <c r="L40" s="187">
        <f>'Subcases Monthly'!J42</f>
        <v>0</v>
      </c>
      <c r="M40" s="187">
        <f>'Subcases Monthly'!K42</f>
        <v>0</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0</v>
      </c>
      <c r="J41" s="187">
        <f>'Subcases Monthly'!H43</f>
        <v>0</v>
      </c>
      <c r="K41" s="187">
        <f>'Subcases Monthly'!I43</f>
        <v>0</v>
      </c>
      <c r="L41" s="187">
        <f>'Subcases Monthly'!J43</f>
        <v>0</v>
      </c>
      <c r="M41" s="187">
        <f>'Subcases Monthly'!K43</f>
        <v>0</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0</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0</v>
      </c>
      <c r="J43" s="187">
        <f>'Subcases Monthly'!H45</f>
        <v>0</v>
      </c>
      <c r="K43" s="187">
        <f>'Subcases Monthly'!I45</f>
        <v>0</v>
      </c>
      <c r="L43" s="187">
        <f>'Subcases Monthly'!J45</f>
        <v>0</v>
      </c>
      <c r="M43" s="187">
        <f>'Subcases Monthly'!K45</f>
        <v>0</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0</v>
      </c>
      <c r="J44" s="187">
        <f>'Subcases Monthly'!H46</f>
        <v>0</v>
      </c>
      <c r="K44" s="187">
        <f>'Subcases Monthly'!I46</f>
        <v>0</v>
      </c>
      <c r="L44" s="187">
        <f>'Subcases Monthly'!J46</f>
        <v>0</v>
      </c>
      <c r="M44" s="187">
        <f>'Subcases Monthly'!K46</f>
        <v>0</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0</v>
      </c>
      <c r="J45" s="187">
        <f>'Subcases Monthly'!H47</f>
        <v>0</v>
      </c>
      <c r="K45" s="187">
        <f>'Subcases Monthly'!I47</f>
        <v>0</v>
      </c>
      <c r="L45" s="187">
        <f>'Subcases Monthly'!J47</f>
        <v>0</v>
      </c>
      <c r="M45" s="187">
        <f>'Subcases Monthly'!K47</f>
        <v>0</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0</v>
      </c>
      <c r="J46" s="187">
        <f>'Subcases Monthly'!H48</f>
        <v>0</v>
      </c>
      <c r="K46" s="187">
        <f>'Subcases Monthly'!I48</f>
        <v>0</v>
      </c>
      <c r="L46" s="187">
        <f>'Subcases Monthly'!J48</f>
        <v>0</v>
      </c>
      <c r="M46" s="187">
        <f>'Subcases Monthly'!K48</f>
        <v>0</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0</v>
      </c>
      <c r="J47" s="187">
        <f>'Subcases Monthly'!H49</f>
        <v>0</v>
      </c>
      <c r="K47" s="187">
        <f>'Subcases Monthly'!I49</f>
        <v>0</v>
      </c>
      <c r="L47" s="187">
        <f>'Subcases Monthly'!J49</f>
        <v>0</v>
      </c>
      <c r="M47" s="187">
        <f>'Subcases Monthly'!K49</f>
        <v>0</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0</v>
      </c>
      <c r="J48" s="187">
        <f>'Subcases Monthly'!H50</f>
        <v>0</v>
      </c>
      <c r="K48" s="187">
        <f>'Subcases Monthly'!I50</f>
        <v>0</v>
      </c>
      <c r="L48" s="187">
        <f>'Subcases Monthly'!J50</f>
        <v>0</v>
      </c>
      <c r="M48" s="187">
        <f>'Subcases Monthly'!K50</f>
        <v>0</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0</v>
      </c>
      <c r="J52" s="187">
        <f>'Subcases Monthly'!H54</f>
        <v>0</v>
      </c>
      <c r="K52" s="187">
        <f>'Subcases Monthly'!I54</f>
        <v>0</v>
      </c>
      <c r="L52" s="187">
        <f>'Subcases Monthly'!J54</f>
        <v>0</v>
      </c>
      <c r="M52" s="187">
        <f>'Subcases Monthly'!K54</f>
        <v>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0</v>
      </c>
      <c r="J53" s="187">
        <f>'Subcases Monthly'!H55</f>
        <v>0</v>
      </c>
      <c r="K53" s="187">
        <f>'Subcases Monthly'!I55</f>
        <v>0</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0</v>
      </c>
      <c r="J56" s="187">
        <f>'Subcases Monthly'!H58</f>
        <v>0</v>
      </c>
      <c r="K56" s="187">
        <f>'Subcases Monthly'!I58</f>
        <v>0</v>
      </c>
      <c r="L56" s="187">
        <f>'Subcases Monthly'!J58</f>
        <v>0</v>
      </c>
      <c r="M56" s="187">
        <f>'Subcases Monthly'!K58</f>
        <v>0</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0</v>
      </c>
      <c r="J58" s="187">
        <f>'Subcases Monthly'!H63</f>
        <v>0</v>
      </c>
      <c r="K58" s="187">
        <f>'Subcases Monthly'!I63</f>
        <v>0</v>
      </c>
      <c r="L58" s="187">
        <f>'Subcases Monthly'!J63</f>
        <v>0</v>
      </c>
      <c r="M58" s="187">
        <f>'Subcases Monthly'!K63</f>
        <v>0</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0</v>
      </c>
      <c r="J59" s="187">
        <f>'Subcases Monthly'!H64</f>
        <v>0</v>
      </c>
      <c r="K59" s="187">
        <f>'Subcases Monthly'!I64</f>
        <v>0</v>
      </c>
      <c r="L59" s="187">
        <f>'Subcases Monthly'!J64</f>
        <v>0</v>
      </c>
      <c r="M59" s="187">
        <f>'Subcases Monthly'!K64</f>
        <v>0</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0</v>
      </c>
      <c r="J60" s="187">
        <f>'Subcases Monthly'!H65</f>
        <v>0</v>
      </c>
      <c r="K60" s="187">
        <f>'Subcases Monthly'!I65</f>
        <v>0</v>
      </c>
      <c r="L60" s="187">
        <f>'Subcases Monthly'!J65</f>
        <v>0</v>
      </c>
      <c r="M60" s="187">
        <f>'Subcases Monthly'!K65</f>
        <v>0</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0</v>
      </c>
      <c r="J61" s="187">
        <f>'Subcases Monthly'!H66</f>
        <v>0</v>
      </c>
      <c r="K61" s="187">
        <f>'Subcases Monthly'!I66</f>
        <v>0</v>
      </c>
      <c r="L61" s="187">
        <f>'Subcases Monthly'!J66</f>
        <v>0</v>
      </c>
      <c r="M61" s="187">
        <f>'Subcases Monthly'!K66</f>
        <v>0</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0</v>
      </c>
      <c r="J62" s="187">
        <f>'Subcases Monthly'!H67</f>
        <v>0</v>
      </c>
      <c r="K62" s="187">
        <f>'Subcases Monthly'!I67</f>
        <v>0</v>
      </c>
      <c r="L62" s="187">
        <f>'Subcases Monthly'!J67</f>
        <v>0</v>
      </c>
      <c r="M62" s="187">
        <f>'Subcases Monthly'!K67</f>
        <v>0</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0</v>
      </c>
      <c r="J63" s="187">
        <f>'Subcases Monthly'!H68</f>
        <v>0</v>
      </c>
      <c r="K63" s="187">
        <f>'Subcases Monthly'!I68</f>
        <v>0</v>
      </c>
      <c r="L63" s="187">
        <f>'Subcases Monthly'!J68</f>
        <v>0</v>
      </c>
      <c r="M63" s="187">
        <f>'Subcases Monthly'!K68</f>
        <v>0</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0</v>
      </c>
      <c r="J64" s="187">
        <f>'Subcases Monthly'!H69</f>
        <v>0</v>
      </c>
      <c r="K64" s="187">
        <f>'Subcases Monthly'!I69</f>
        <v>0</v>
      </c>
      <c r="L64" s="187">
        <f>'Subcases Monthly'!J69</f>
        <v>0</v>
      </c>
      <c r="M64" s="187">
        <f>'Subcases Monthly'!K69</f>
        <v>0</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0</v>
      </c>
      <c r="J65" s="187">
        <f>'Subcases Monthly'!H70</f>
        <v>0</v>
      </c>
      <c r="K65" s="187">
        <f>'Subcases Monthly'!I70</f>
        <v>0</v>
      </c>
      <c r="L65" s="187">
        <f>'Subcases Monthly'!J70</f>
        <v>0</v>
      </c>
      <c r="M65" s="187">
        <f>'Subcases Monthly'!K70</f>
        <v>0</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0</v>
      </c>
      <c r="K66" s="187">
        <f>'Subcases Monthly'!I71</f>
        <v>0</v>
      </c>
      <c r="L66" s="187">
        <f>'Subcases Monthly'!J71</f>
        <v>0</v>
      </c>
      <c r="M66" s="187">
        <f>'Subcases Monthly'!K71</f>
        <v>0</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0</v>
      </c>
      <c r="J69" s="187">
        <f>'Subcases Monthly'!H77</f>
        <v>0</v>
      </c>
      <c r="K69" s="187">
        <f>'Subcases Monthly'!I77</f>
        <v>0</v>
      </c>
      <c r="L69" s="187">
        <f>'Subcases Monthly'!J77</f>
        <v>0</v>
      </c>
      <c r="M69" s="187">
        <f>'Subcases Monthly'!K77</f>
        <v>0</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0</v>
      </c>
      <c r="J70" s="187">
        <f>'Subcases Monthly'!H78</f>
        <v>0</v>
      </c>
      <c r="K70" s="187">
        <f>'Subcases Monthly'!I78</f>
        <v>0</v>
      </c>
      <c r="L70" s="187">
        <f>'Subcases Monthly'!J78</f>
        <v>0</v>
      </c>
      <c r="M70" s="187">
        <f>'Subcases Monthly'!K78</f>
        <v>0</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0</v>
      </c>
      <c r="J71" s="187">
        <f>'Subcases Monthly'!H79</f>
        <v>0</v>
      </c>
      <c r="K71" s="187">
        <f>'Subcases Monthly'!I79</f>
        <v>0</v>
      </c>
      <c r="L71" s="187">
        <f>'Subcases Monthly'!J79</f>
        <v>0</v>
      </c>
      <c r="M71" s="187">
        <f>'Subcases Monthly'!K79</f>
        <v>0</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0</v>
      </c>
      <c r="J72" s="187">
        <f>'Subcases Monthly'!H80</f>
        <v>0</v>
      </c>
      <c r="K72" s="187">
        <f>'Subcases Monthly'!I80</f>
        <v>0</v>
      </c>
      <c r="L72" s="187">
        <f>'Subcases Monthly'!J80</f>
        <v>0</v>
      </c>
      <c r="M72" s="187">
        <f>'Subcases Monthly'!K80</f>
        <v>0</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0</v>
      </c>
      <c r="J73" s="187">
        <f>'Subcases Monthly'!H81</f>
        <v>0</v>
      </c>
      <c r="K73" s="187">
        <f>'Subcases Monthly'!I81</f>
        <v>0</v>
      </c>
      <c r="L73" s="187">
        <f>'Subcases Monthly'!J81</f>
        <v>0</v>
      </c>
      <c r="M73" s="187">
        <f>'Subcases Monthly'!K81</f>
        <v>0</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0</v>
      </c>
      <c r="J74" s="187">
        <f>'Subcases Monthly'!H82</f>
        <v>0</v>
      </c>
      <c r="K74" s="187">
        <f>'Subcases Monthly'!I82</f>
        <v>0</v>
      </c>
      <c r="L74" s="187">
        <f>'Subcases Monthly'!J82</f>
        <v>0</v>
      </c>
      <c r="M74" s="187">
        <f>'Subcases Monthly'!K82</f>
        <v>0</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0</v>
      </c>
      <c r="J76" s="187">
        <f>'Subcases Monthly'!H84</f>
        <v>0</v>
      </c>
      <c r="K76" s="187">
        <f>'Subcases Monthly'!I84</f>
        <v>0</v>
      </c>
      <c r="L76" s="187">
        <f>'Subcases Monthly'!J84</f>
        <v>0</v>
      </c>
      <c r="M76" s="187">
        <f>'Subcases Monthly'!K84</f>
        <v>0</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0</v>
      </c>
      <c r="J77" s="187">
        <f>'Subcases Monthly'!H85</f>
        <v>0</v>
      </c>
      <c r="K77" s="187">
        <f>'Subcases Monthly'!I85</f>
        <v>0</v>
      </c>
      <c r="L77" s="187">
        <f>'Subcases Monthly'!J85</f>
        <v>0</v>
      </c>
      <c r="M77" s="187">
        <f>'Subcases Monthly'!K85</f>
        <v>0</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0</v>
      </c>
      <c r="J78" s="187">
        <f>'Subcases Monthly'!H86</f>
        <v>0</v>
      </c>
      <c r="K78" s="187">
        <f>'Subcases Monthly'!I86</f>
        <v>0</v>
      </c>
      <c r="L78" s="187">
        <f>'Subcases Monthly'!J86</f>
        <v>0</v>
      </c>
      <c r="M78" s="187">
        <f>'Subcases Monthly'!K86</f>
        <v>0</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0</v>
      </c>
      <c r="J79" s="187">
        <f>'Subcases Monthly'!H87</f>
        <v>0</v>
      </c>
      <c r="K79" s="187">
        <f>'Subcases Monthly'!I87</f>
        <v>0</v>
      </c>
      <c r="L79" s="187">
        <f>'Subcases Monthly'!J87</f>
        <v>0</v>
      </c>
      <c r="M79" s="187">
        <f>'Subcases Monthly'!K87</f>
        <v>0</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0</v>
      </c>
      <c r="J80" s="187">
        <f>'Subcases Monthly'!H88</f>
        <v>0</v>
      </c>
      <c r="K80" s="187">
        <f>'Subcases Monthly'!I88</f>
        <v>0</v>
      </c>
      <c r="L80" s="187">
        <f>'Subcases Monthly'!J88</f>
        <v>0</v>
      </c>
      <c r="M80" s="187">
        <f>'Subcases Monthly'!K88</f>
        <v>0</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0</v>
      </c>
      <c r="J81" s="187">
        <f>'Subcases Monthly'!H89</f>
        <v>0</v>
      </c>
      <c r="K81" s="187">
        <f>'Subcases Monthly'!I89</f>
        <v>0</v>
      </c>
      <c r="L81" s="187">
        <f>'Subcases Monthly'!J89</f>
        <v>0</v>
      </c>
      <c r="M81" s="187">
        <f>'Subcases Monthly'!K89</f>
        <v>0</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0</v>
      </c>
      <c r="M84" s="187">
        <f>'Subcases Monthly'!K92</f>
        <v>0</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0</v>
      </c>
      <c r="J86" s="187">
        <f>'Subcases Monthly'!H97</f>
        <v>0</v>
      </c>
      <c r="K86" s="187">
        <f>'Subcases Monthly'!I97</f>
        <v>0</v>
      </c>
      <c r="L86" s="187">
        <f>'Subcases Monthly'!J97</f>
        <v>0</v>
      </c>
      <c r="M86" s="187">
        <f>'Subcases Monthly'!K97</f>
        <v>0</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0</v>
      </c>
      <c r="J87" s="187">
        <f>'Subcases Monthly'!H98</f>
        <v>0</v>
      </c>
      <c r="K87" s="187">
        <f>'Subcases Monthly'!I98</f>
        <v>0</v>
      </c>
      <c r="L87" s="187">
        <f>'Subcases Monthly'!J98</f>
        <v>0</v>
      </c>
      <c r="M87" s="187">
        <f>'Subcases Monthly'!K98</f>
        <v>0</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0</v>
      </c>
      <c r="J88" s="187">
        <f>'Subcases Monthly'!H99</f>
        <v>0</v>
      </c>
      <c r="K88" s="187">
        <f>'Subcases Monthly'!I99</f>
        <v>0</v>
      </c>
      <c r="L88" s="187">
        <f>'Subcases Monthly'!J99</f>
        <v>0</v>
      </c>
      <c r="M88" s="187">
        <f>'Subcases Monthly'!K99</f>
        <v>0</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0</v>
      </c>
      <c r="J89" s="187">
        <f>'Subcases Monthly'!H100</f>
        <v>0</v>
      </c>
      <c r="K89" s="187">
        <f>'Subcases Monthly'!I100</f>
        <v>0</v>
      </c>
      <c r="L89" s="187">
        <f>'Subcases Monthly'!J100</f>
        <v>0</v>
      </c>
      <c r="M89" s="187">
        <f>'Subcases Monthly'!K100</f>
        <v>0</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0</v>
      </c>
      <c r="J90" s="187">
        <f>'Subcases Monthly'!H101</f>
        <v>0</v>
      </c>
      <c r="K90" s="187">
        <f>'Subcases Monthly'!I101</f>
        <v>0</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0</v>
      </c>
      <c r="J91" s="187">
        <f>'Subcases Monthly'!H102</f>
        <v>0</v>
      </c>
      <c r="K91" s="187">
        <f>'Subcases Monthly'!I102</f>
        <v>0</v>
      </c>
      <c r="L91" s="187">
        <f>'Subcases Monthly'!J102</f>
        <v>0</v>
      </c>
      <c r="M91" s="187">
        <f>'Subcases Monthly'!K102</f>
        <v>0</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0</v>
      </c>
      <c r="J92" s="187">
        <f>'Subcases Monthly'!H103</f>
        <v>0</v>
      </c>
      <c r="K92" s="187">
        <f>'Subcases Monthly'!I103</f>
        <v>0</v>
      </c>
      <c r="L92" s="187">
        <f>'Subcases Monthly'!J103</f>
        <v>0</v>
      </c>
      <c r="M92" s="187">
        <f>'Subcases Monthly'!K103</f>
        <v>0</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0</v>
      </c>
      <c r="J93" s="187">
        <f>'Subcases Monthly'!H104</f>
        <v>0</v>
      </c>
      <c r="K93" s="187">
        <f>'Subcases Monthly'!I104</f>
        <v>0</v>
      </c>
      <c r="L93" s="187">
        <f>'Subcases Monthly'!J104</f>
        <v>0</v>
      </c>
      <c r="M93" s="187">
        <f>'Subcases Monthly'!K104</f>
        <v>0</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0</v>
      </c>
      <c r="J94" s="187">
        <f>'Subcases Monthly'!H105</f>
        <v>0</v>
      </c>
      <c r="K94" s="187">
        <f>'Subcases Monthly'!I105</f>
        <v>0</v>
      </c>
      <c r="L94" s="187">
        <f>'Subcases Monthly'!J105</f>
        <v>0</v>
      </c>
      <c r="M94" s="187">
        <f>'Subcases Monthly'!K105</f>
        <v>0</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0</v>
      </c>
      <c r="J95" s="187">
        <f>'Subcases Monthly'!H106</f>
        <v>0</v>
      </c>
      <c r="K95" s="187">
        <f>'Subcases Monthly'!I106</f>
        <v>0</v>
      </c>
      <c r="L95" s="187">
        <f>'Subcases Monthly'!J106</f>
        <v>0</v>
      </c>
      <c r="M95" s="187">
        <f>'Subcases Monthly'!K106</f>
        <v>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0</v>
      </c>
      <c r="J97" s="187">
        <f>'Subcases Monthly'!H111</f>
        <v>0</v>
      </c>
      <c r="K97" s="187">
        <f>'Subcases Monthly'!I111</f>
        <v>0</v>
      </c>
      <c r="L97" s="187">
        <f>'Subcases Monthly'!J111</f>
        <v>0</v>
      </c>
      <c r="M97" s="187">
        <f>'Subcases Monthly'!K111</f>
        <v>0</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0</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0</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0</v>
      </c>
      <c r="J101" s="187">
        <f>'Subcases Monthly'!H115</f>
        <v>0</v>
      </c>
      <c r="K101" s="187">
        <f>'Subcases Monthly'!I115</f>
        <v>0</v>
      </c>
      <c r="L101" s="187">
        <f>'Subcases Monthly'!J115</f>
        <v>0</v>
      </c>
      <c r="M101" s="187">
        <f>'Subcases Monthly'!K115</f>
        <v>0</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0</v>
      </c>
      <c r="J106" s="187">
        <f>'Subcases Monthly'!H123</f>
        <v>0</v>
      </c>
      <c r="K106" s="187">
        <f>'Subcases Monthly'!I123</f>
        <v>0</v>
      </c>
      <c r="L106" s="187">
        <f>'Subcases Monthly'!J123</f>
        <v>0</v>
      </c>
      <c r="M106" s="187">
        <f>'Subcases Monthly'!K123</f>
        <v>0</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0</v>
      </c>
      <c r="J107" s="187">
        <f>'Outputs Monthly'!H23</f>
        <v>0</v>
      </c>
      <c r="K107" s="187">
        <f>'Outputs Monthly'!I23</f>
        <v>0</v>
      </c>
      <c r="L107" s="187">
        <f>'Outputs Monthly'!J23</f>
        <v>0</v>
      </c>
      <c r="M107" s="187">
        <f>'Outputs Monthly'!K23</f>
        <v>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0</v>
      </c>
      <c r="J108" s="187">
        <f>'Outputs Monthly'!H24</f>
        <v>0</v>
      </c>
      <c r="K108" s="187">
        <f>'Outputs Monthly'!I24</f>
        <v>0</v>
      </c>
      <c r="L108" s="187">
        <f>'Outputs Monthly'!J24</f>
        <v>0</v>
      </c>
      <c r="M108" s="187">
        <f>'Outputs Monthly'!K24</f>
        <v>0</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0</v>
      </c>
      <c r="J109" s="187">
        <f>'Outputs Monthly'!H25</f>
        <v>0</v>
      </c>
      <c r="K109" s="187">
        <f>'Outputs Monthly'!I25</f>
        <v>0</v>
      </c>
      <c r="L109" s="187">
        <f>'Outputs Monthly'!J25</f>
        <v>0</v>
      </c>
      <c r="M109" s="187">
        <f>'Outputs Monthly'!K25</f>
        <v>0</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0</v>
      </c>
      <c r="J110" s="187">
        <f>'Outputs Monthly'!H26</f>
        <v>0</v>
      </c>
      <c r="K110" s="187">
        <f>'Outputs Monthly'!I26</f>
        <v>0</v>
      </c>
      <c r="L110" s="187">
        <f>'Outputs Monthly'!J26</f>
        <v>0</v>
      </c>
      <c r="M110" s="187">
        <f>'Outputs Monthly'!K26</f>
        <v>0</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0</v>
      </c>
      <c r="J111" s="187">
        <f>'Outputs Monthly'!H27</f>
        <v>0</v>
      </c>
      <c r="K111" s="187">
        <f>'Outputs Monthly'!I27</f>
        <v>0</v>
      </c>
      <c r="L111" s="187">
        <f>'Outputs Monthly'!J27</f>
        <v>0</v>
      </c>
      <c r="M111" s="187">
        <f>'Outputs Monthly'!K27</f>
        <v>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0</v>
      </c>
      <c r="J112" s="187">
        <f>'Outputs Monthly'!H28</f>
        <v>0</v>
      </c>
      <c r="K112" s="187">
        <f>'Outputs Monthly'!I28</f>
        <v>0</v>
      </c>
      <c r="L112" s="187">
        <f>'Outputs Monthly'!J28</f>
        <v>0</v>
      </c>
      <c r="M112" s="187">
        <f>'Outputs Monthly'!K28</f>
        <v>0</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0</v>
      </c>
      <c r="J113" s="187">
        <f>'Outputs Monthly'!H29</f>
        <v>0</v>
      </c>
      <c r="K113" s="187">
        <f>'Outputs Monthly'!I29</f>
        <v>0</v>
      </c>
      <c r="L113" s="187">
        <f>'Outputs Monthly'!J29</f>
        <v>0</v>
      </c>
      <c r="M113" s="187">
        <f>'Outputs Monthly'!K29</f>
        <v>0</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0</v>
      </c>
      <c r="J114" s="187">
        <f>'Outputs Monthly'!H30</f>
        <v>0</v>
      </c>
      <c r="K114" s="187">
        <f>'Outputs Monthly'!I30</f>
        <v>0</v>
      </c>
      <c r="L114" s="187">
        <f>'Outputs Monthly'!J30</f>
        <v>0</v>
      </c>
      <c r="M114" s="187">
        <f>'Outputs Monthly'!K30</f>
        <v>0</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0</v>
      </c>
      <c r="J115" s="187">
        <f>'Outputs Monthly'!H31</f>
        <v>0</v>
      </c>
      <c r="K115" s="187">
        <f>'Outputs Monthly'!I31</f>
        <v>0</v>
      </c>
      <c r="L115" s="187">
        <f>'Outputs Monthly'!J31</f>
        <v>0</v>
      </c>
      <c r="M115" s="187">
        <f>'Outputs Monthly'!K31</f>
        <v>0</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0</v>
      </c>
      <c r="J117" s="187">
        <f>'Outputs Monthly'!H36</f>
        <v>0</v>
      </c>
      <c r="K117" s="187">
        <f>'Outputs Monthly'!I36</f>
        <v>0</v>
      </c>
      <c r="L117" s="187">
        <f>'Outputs Monthly'!J36</f>
        <v>0</v>
      </c>
      <c r="M117" s="187">
        <f>'Outputs Monthly'!K36</f>
        <v>0</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0</v>
      </c>
      <c r="L118" s="187">
        <f>'Outputs Monthly'!J37</f>
        <v>0</v>
      </c>
      <c r="M118" s="187">
        <f>'Outputs Monthly'!K37</f>
        <v>0</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0</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0</v>
      </c>
      <c r="J120" s="187">
        <f>'Outputs Monthly'!H39</f>
        <v>0</v>
      </c>
      <c r="K120" s="187">
        <f>'Outputs Monthly'!I39</f>
        <v>0</v>
      </c>
      <c r="L120" s="187">
        <f>'Outputs Monthly'!J39</f>
        <v>0</v>
      </c>
      <c r="M120" s="187">
        <f>'Outputs Monthly'!K39</f>
        <v>0</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0</v>
      </c>
      <c r="J121" s="187">
        <f>'Outputs Monthly'!H40</f>
        <v>0</v>
      </c>
      <c r="K121" s="187">
        <f>'Outputs Monthly'!I40</f>
        <v>0</v>
      </c>
      <c r="L121" s="187">
        <f>'Outputs Monthly'!J40</f>
        <v>0</v>
      </c>
      <c r="M121" s="187">
        <f>'Outputs Monthly'!K40</f>
        <v>0</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0</v>
      </c>
      <c r="J122" s="187">
        <f>'Outputs Monthly'!H41</f>
        <v>0</v>
      </c>
      <c r="K122" s="187">
        <f>'Outputs Monthly'!I41</f>
        <v>0</v>
      </c>
      <c r="L122" s="187">
        <f>'Outputs Monthly'!J41</f>
        <v>0</v>
      </c>
      <c r="M122" s="187">
        <f>'Outputs Monthly'!K41</f>
        <v>0</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0</v>
      </c>
      <c r="J123" s="187">
        <f>'Outputs Monthly'!H42</f>
        <v>0</v>
      </c>
      <c r="K123" s="187">
        <f>'Outputs Monthly'!I42</f>
        <v>0</v>
      </c>
      <c r="L123" s="187">
        <f>'Outputs Monthly'!J42</f>
        <v>0</v>
      </c>
      <c r="M123" s="187">
        <f>'Outputs Monthly'!K42</f>
        <v>0</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0</v>
      </c>
      <c r="J124" s="187">
        <f>'Outputs Monthly'!H43</f>
        <v>0</v>
      </c>
      <c r="K124" s="187">
        <f>'Outputs Monthly'!I43</f>
        <v>0</v>
      </c>
      <c r="L124" s="187">
        <f>'Outputs Monthly'!J43</f>
        <v>0</v>
      </c>
      <c r="M124" s="187">
        <f>'Outputs Monthly'!K43</f>
        <v>0</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0</v>
      </c>
      <c r="K125" s="187">
        <f>'Outputs Monthly'!I44</f>
        <v>0</v>
      </c>
      <c r="L125" s="187">
        <f>'Outputs Monthly'!J44</f>
        <v>0</v>
      </c>
      <c r="M125" s="187">
        <f>'Outputs Monthly'!K44</f>
        <v>0</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0</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54787</v>
      </c>
      <c r="H127" s="188">
        <f>'Timeliness Quarterly'!H46</f>
        <v>0</v>
      </c>
      <c r="I127" s="188">
        <f>'Timeliness Quarterly'!I46</f>
        <v>0</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18000</v>
      </c>
      <c r="H128" s="188">
        <f>'Timeliness Quarterly'!H49</f>
        <v>0</v>
      </c>
      <c r="I128" s="188">
        <f>'Timeliness Quarterly'!I49</f>
        <v>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4426</v>
      </c>
      <c r="H129" s="188">
        <f>'Timeliness Quarterly'!H52</f>
        <v>0</v>
      </c>
      <c r="I129" s="188">
        <f>'Timeliness Quarterly'!I52</f>
        <v>0</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9599</v>
      </c>
      <c r="H130" s="188">
        <f>'Timeliness Quarterly'!H55</f>
        <v>0</v>
      </c>
      <c r="I130" s="188">
        <f>'Timeliness Quarterly'!I55</f>
        <v>0</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38042</v>
      </c>
      <c r="H131" s="188">
        <f>'Timeliness Quarterly'!H58</f>
        <v>0</v>
      </c>
      <c r="I131" s="188">
        <f>'Timeliness Quarterly'!I58</f>
        <v>0</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36059</v>
      </c>
      <c r="H132" s="188">
        <f>'Timeliness Quarterly'!H61</f>
        <v>0</v>
      </c>
      <c r="I132" s="188">
        <f>'Timeliness Quarterly'!I61</f>
        <v>0</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15306</v>
      </c>
      <c r="H133" s="188">
        <f>'Timeliness Quarterly'!H64</f>
        <v>0</v>
      </c>
      <c r="I133" s="188">
        <f>'Timeliness Quarterly'!I64</f>
        <v>0</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23442</v>
      </c>
      <c r="H134" s="188">
        <f>'Timeliness Quarterly'!H67</f>
        <v>0</v>
      </c>
      <c r="I134" s="188">
        <f>'Timeliness Quarterly'!I67</f>
        <v>0</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496</v>
      </c>
      <c r="H135" s="188">
        <f>'Timeliness Quarterly'!H70</f>
        <v>0</v>
      </c>
      <c r="I135" s="188">
        <f>'Timeliness Quarterly'!I70</f>
        <v>0</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23177</v>
      </c>
      <c r="H136" s="188">
        <f>'Timeliness Quarterly'!H73</f>
        <v>0</v>
      </c>
      <c r="I136" s="188">
        <f>'Timeliness Quarterly'!I73</f>
        <v>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1041</v>
      </c>
      <c r="H137" s="188">
        <f>'Timeliness Quarterly'!H12</f>
        <v>0</v>
      </c>
      <c r="I137" s="188">
        <f>'Timeliness Quarterly'!I12</f>
        <v>0</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1024</v>
      </c>
      <c r="H138" s="188">
        <f>'Timeliness Quarterly'!H15</f>
        <v>0</v>
      </c>
      <c r="I138" s="188">
        <f>'Timeliness Quarterly'!I15</f>
        <v>0</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191</v>
      </c>
      <c r="H139" s="188">
        <f>'Timeliness Quarterly'!H18</f>
        <v>0</v>
      </c>
      <c r="I139" s="188">
        <f>'Timeliness Quarterly'!I18</f>
        <v>0</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1371</v>
      </c>
      <c r="H140" s="188">
        <f>'Timeliness Quarterly'!H21</f>
        <v>0</v>
      </c>
      <c r="I140" s="188">
        <f>'Timeliness Quarterly'!I21</f>
        <v>0</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433</v>
      </c>
      <c r="H141" s="188">
        <f>'Timeliness Quarterly'!H24</f>
        <v>0</v>
      </c>
      <c r="I141" s="188">
        <f>'Timeliness Quarterly'!I24</f>
        <v>0</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2148</v>
      </c>
      <c r="H142" s="188">
        <f>'Timeliness Quarterly'!H27</f>
        <v>0</v>
      </c>
      <c r="I142" s="188">
        <f>'Timeliness Quarterly'!I27</f>
        <v>0</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1039</v>
      </c>
      <c r="H143" s="188">
        <f>'Timeliness Quarterly'!H30</f>
        <v>0</v>
      </c>
      <c r="I143" s="188">
        <f>'Timeliness Quarterly'!I30</f>
        <v>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845</v>
      </c>
      <c r="H144" s="188">
        <f>'Timeliness Quarterly'!H33</f>
        <v>0</v>
      </c>
      <c r="I144" s="188">
        <f>'Timeliness Quarterly'!I33</f>
        <v>0</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38</v>
      </c>
      <c r="H145" s="188">
        <f>'Timeliness Quarterly'!H36</f>
        <v>0</v>
      </c>
      <c r="I145" s="188">
        <f>'Timeliness Quarterly'!I36</f>
        <v>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6665</v>
      </c>
      <c r="H146" s="188">
        <f>'Timeliness Quarterly'!H39</f>
        <v>0</v>
      </c>
      <c r="I146" s="188">
        <f>'Timeliness Quarterly'!I39</f>
        <v>0</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53918</v>
      </c>
      <c r="H147" s="188">
        <f>'Timeliness Quarterly'!H47</f>
        <v>0</v>
      </c>
      <c r="I147" s="188">
        <f>'Timeliness Quarterly'!I47</f>
        <v>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17616</v>
      </c>
      <c r="H148" s="188">
        <f>'Timeliness Quarterly'!H50</f>
        <v>0</v>
      </c>
      <c r="I148" s="188">
        <f>'Timeliness Quarterly'!I50</f>
        <v>0</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4423</v>
      </c>
      <c r="H149" s="188">
        <f>'Timeliness Quarterly'!H53</f>
        <v>0</v>
      </c>
      <c r="I149" s="188">
        <f>'Timeliness Quarterly'!I53</f>
        <v>0</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9087</v>
      </c>
      <c r="H150" s="188">
        <f>'Timeliness Quarterly'!H56</f>
        <v>0</v>
      </c>
      <c r="I150" s="188">
        <f>'Timeliness Quarterly'!I56</f>
        <v>0</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35707</v>
      </c>
      <c r="H151" s="188">
        <f>'Timeliness Quarterly'!H59</f>
        <v>0</v>
      </c>
      <c r="I151" s="188">
        <f>'Timeliness Quarterly'!I59</f>
        <v>0</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31004</v>
      </c>
      <c r="H152" s="188">
        <f>'Timeliness Quarterly'!H62</f>
        <v>0</v>
      </c>
      <c r="I152" s="188">
        <f>'Timeliness Quarterly'!I62</f>
        <v>0</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13736</v>
      </c>
      <c r="H153" s="188">
        <f>'Timeliness Quarterly'!H65</f>
        <v>0</v>
      </c>
      <c r="I153" s="188">
        <f>'Timeliness Quarterly'!I65</f>
        <v>0</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22624</v>
      </c>
      <c r="H154" s="188">
        <f>'Timeliness Quarterly'!H68</f>
        <v>0</v>
      </c>
      <c r="I154" s="188">
        <f>'Timeliness Quarterly'!I68</f>
        <v>0</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479</v>
      </c>
      <c r="H155" s="188">
        <f>'Timeliness Quarterly'!H71</f>
        <v>0</v>
      </c>
      <c r="I155" s="188">
        <f>'Timeliness Quarterly'!I71</f>
        <v>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22737</v>
      </c>
      <c r="H156" s="188">
        <f>'Timeliness Quarterly'!H74</f>
        <v>0</v>
      </c>
      <c r="I156" s="188">
        <f>'Timeliness Quarterly'!I74</f>
        <v>0</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0.96930000000000005</v>
      </c>
      <c r="H157" s="188">
        <f>'Timeliness Quarterly'!H13</f>
        <v>1</v>
      </c>
      <c r="I157" s="188">
        <f>'Timeliness Quarterly'!I13</f>
        <v>1</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0.97430000000000005</v>
      </c>
      <c r="H158" s="188">
        <f>'Timeliness Quarterly'!H16</f>
        <v>1</v>
      </c>
      <c r="I158" s="188">
        <f>'Timeliness Quarterly'!I16</f>
        <v>1</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0.99480000000000002</v>
      </c>
      <c r="H159" s="188">
        <f>'Timeliness Quarterly'!H19</f>
        <v>1</v>
      </c>
      <c r="I159" s="188">
        <f>'Timeliness Quarterly'!I19</f>
        <v>1</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0.96550000000000002</v>
      </c>
      <c r="H160" s="188">
        <f>'Timeliness Quarterly'!H22</f>
        <v>1</v>
      </c>
      <c r="I160" s="188">
        <f>'Timeliness Quarterly'!I22</f>
        <v>1</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0.78869999999999996</v>
      </c>
      <c r="H161" s="188">
        <f>'Timeliness Quarterly'!H25</f>
        <v>1</v>
      </c>
      <c r="I161" s="188">
        <f>'Timeliness Quarterly'!I25</f>
        <v>1</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0.90590000000000004</v>
      </c>
      <c r="H162" s="188">
        <f>'Timeliness Quarterly'!H28</f>
        <v>1</v>
      </c>
      <c r="I162" s="188">
        <f>'Timeliness Quarterly'!I28</f>
        <v>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0.86870000000000003</v>
      </c>
      <c r="H163" s="188">
        <f>'Timeliness Quarterly'!H31</f>
        <v>1</v>
      </c>
      <c r="I163" s="188">
        <f>'Timeliness Quarterly'!I31</f>
        <v>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0.97350000000000003</v>
      </c>
      <c r="H164" s="188">
        <f>'Timeliness Quarterly'!H34</f>
        <v>1</v>
      </c>
      <c r="I164" s="188">
        <f>'Timeliness Quarterly'!I34</f>
        <v>1</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1</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0.9587</v>
      </c>
      <c r="H166" s="188">
        <f>'Timeliness Quarterly'!H40</f>
        <v>1</v>
      </c>
      <c r="I166" s="188">
        <f>'Timeliness Quarterly'!I40</f>
        <v>1</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0.98409999999999997</v>
      </c>
      <c r="H167" s="188">
        <f>'Timeliness Quarterly'!H48</f>
        <v>1</v>
      </c>
      <c r="I167" s="188">
        <f>'Timeliness Quarterly'!I48</f>
        <v>1</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0.97870000000000001</v>
      </c>
      <c r="H168" s="188">
        <f>'Timeliness Quarterly'!H51</f>
        <v>1</v>
      </c>
      <c r="I168" s="188">
        <f>'Timeliness Quarterly'!I51</f>
        <v>1</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0.99929999999999997</v>
      </c>
      <c r="H169" s="188">
        <f>'Timeliness Quarterly'!H54</f>
        <v>1</v>
      </c>
      <c r="I169" s="188">
        <f>'Timeliness Quarterly'!I54</f>
        <v>1</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0.94669999999999999</v>
      </c>
      <c r="H170" s="188">
        <f>'Timeliness Quarterly'!H57</f>
        <v>1</v>
      </c>
      <c r="I170" s="188">
        <f>'Timeliness Quarterly'!I57</f>
        <v>1</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0.93859999999999999</v>
      </c>
      <c r="H171" s="188">
        <f>'Timeliness Quarterly'!H60</f>
        <v>1</v>
      </c>
      <c r="I171" s="188">
        <f>'Timeliness Quarterly'!I60</f>
        <v>1</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0.85980000000000001</v>
      </c>
      <c r="H172" s="188">
        <f>'Timeliness Quarterly'!H63</f>
        <v>1</v>
      </c>
      <c r="I172" s="188">
        <f>'Timeliness Quarterly'!I63</f>
        <v>1</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0.89739999999999998</v>
      </c>
      <c r="H173" s="188">
        <f>'Timeliness Quarterly'!H66</f>
        <v>1</v>
      </c>
      <c r="I173" s="188">
        <f>'Timeliness Quarterly'!I66</f>
        <v>1</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0.96509999999999996</v>
      </c>
      <c r="H174" s="188">
        <f>'Timeliness Quarterly'!H69</f>
        <v>1</v>
      </c>
      <c r="I174" s="188">
        <f>'Timeliness Quarterly'!I69</f>
        <v>1</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0.9657</v>
      </c>
      <c r="H175" s="188">
        <f>'Timeliness Quarterly'!H72</f>
        <v>1</v>
      </c>
      <c r="I175" s="188">
        <f>'Timeliness Quarterly'!I72</f>
        <v>1</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0.98099999999999998</v>
      </c>
      <c r="H176" s="188">
        <f>'Timeliness Quarterly'!H75</f>
        <v>1</v>
      </c>
      <c r="I176" s="188">
        <f>'Timeliness Quarterly'!I75</f>
        <v>1</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t="str">
        <f>'Timeliness Quarterly'!L23</f>
        <v>Staffing - Internal</v>
      </c>
      <c r="H182" s="186">
        <f>'Timeliness Quarterly'!N23</f>
        <v>0</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f>'Timeliness Quarterly'!N61</f>
        <v>0</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t="str">
        <f>'Timeliness Quarterly'!M23</f>
        <v>We experienced staff changes and shortages, requiring hiring and training.  We are working on hiring and training new staff to recover from these shortages.</v>
      </c>
      <c r="H202" s="186">
        <f>'Timeliness Quarterly'!O23</f>
        <v>0</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f>'Timeliness Quarterly'!O61</f>
        <v>0</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1</v>
      </c>
      <c r="H222" s="186">
        <f t="shared" si="12"/>
        <v>0</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0</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0</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58" t="s">
        <v>458</v>
      </c>
      <c r="C2" s="558"/>
      <c r="D2" s="558"/>
      <c r="E2" s="558"/>
      <c r="F2" s="558"/>
      <c r="G2" s="558"/>
      <c r="H2" s="558"/>
      <c r="I2" s="558"/>
      <c r="J2" s="558"/>
      <c r="K2" s="558"/>
      <c r="L2" s="558"/>
      <c r="M2" s="558"/>
      <c r="N2" s="558"/>
      <c r="O2" s="558" t="s">
        <v>459</v>
      </c>
      <c r="P2" s="558"/>
      <c r="Q2" s="558"/>
      <c r="R2" s="558"/>
      <c r="S2" s="558"/>
      <c r="T2" s="558"/>
      <c r="U2" s="558"/>
      <c r="V2" s="558"/>
      <c r="W2" s="558"/>
      <c r="X2" s="558"/>
      <c r="Y2" s="558"/>
      <c r="Z2" s="558"/>
      <c r="AA2" s="558"/>
      <c r="AB2" s="558" t="s">
        <v>460</v>
      </c>
      <c r="AC2" s="558"/>
      <c r="AD2" s="558"/>
      <c r="AE2" s="558"/>
      <c r="AF2" s="558"/>
      <c r="AG2" s="558"/>
      <c r="AH2" s="558"/>
      <c r="AI2" s="558"/>
      <c r="AJ2" s="558"/>
      <c r="AK2" s="558"/>
      <c r="AL2" s="558"/>
      <c r="AM2" s="558"/>
      <c r="AN2" s="558"/>
      <c r="AO2" s="558" t="s">
        <v>461</v>
      </c>
      <c r="AP2" s="558"/>
      <c r="AQ2" s="558"/>
      <c r="AR2" s="558"/>
      <c r="AS2" s="558"/>
      <c r="AT2" s="558"/>
      <c r="AU2" s="558"/>
      <c r="AV2" s="558"/>
      <c r="AW2" s="558"/>
      <c r="AX2" s="558"/>
      <c r="AY2" s="558"/>
      <c r="AZ2" s="558"/>
      <c r="BA2" s="558"/>
      <c r="BB2" s="558" t="s">
        <v>462</v>
      </c>
      <c r="BC2" s="558"/>
      <c r="BD2" s="558"/>
      <c r="BE2" s="558"/>
      <c r="BF2" s="558"/>
      <c r="BG2" s="558"/>
      <c r="BH2" s="558"/>
      <c r="BI2" s="558"/>
      <c r="BJ2" s="558"/>
      <c r="BK2" s="558"/>
      <c r="BL2" s="558"/>
      <c r="BM2" s="558"/>
      <c r="BN2" s="558"/>
      <c r="BO2" s="559" t="s">
        <v>463</v>
      </c>
      <c r="BP2" s="559"/>
      <c r="BQ2" s="559"/>
      <c r="BR2" s="559"/>
      <c r="BS2" s="559"/>
      <c r="BT2" s="559"/>
      <c r="BU2" s="559"/>
      <c r="BV2" s="559"/>
      <c r="BW2" s="559"/>
      <c r="BX2" s="559"/>
      <c r="BY2" s="559"/>
      <c r="BZ2" s="559"/>
      <c r="CA2" s="559"/>
      <c r="CB2" s="559" t="s">
        <v>464</v>
      </c>
      <c r="CC2" s="559"/>
      <c r="CD2" s="559"/>
      <c r="CE2" s="559"/>
      <c r="CF2" s="559"/>
      <c r="CG2" s="559"/>
      <c r="CH2" s="559"/>
      <c r="CI2" s="559"/>
      <c r="CJ2" s="559"/>
      <c r="CK2" s="559"/>
      <c r="CL2" s="559"/>
      <c r="CM2" s="559"/>
      <c r="CN2" s="559"/>
      <c r="CO2" s="559" t="s">
        <v>465</v>
      </c>
      <c r="CP2" s="559"/>
      <c r="CQ2" s="559"/>
      <c r="CR2" s="559"/>
      <c r="CS2" s="559"/>
      <c r="CT2" s="559"/>
      <c r="CU2" s="559"/>
      <c r="CV2" s="559"/>
      <c r="CW2" s="559"/>
      <c r="CX2" s="559"/>
      <c r="CY2" s="559"/>
      <c r="CZ2" s="559"/>
      <c r="DA2" s="559"/>
      <c r="DB2" s="559" t="s">
        <v>466</v>
      </c>
      <c r="DC2" s="559"/>
      <c r="DD2" s="559"/>
      <c r="DE2" s="559"/>
      <c r="DF2" s="559"/>
      <c r="DG2" s="559"/>
      <c r="DH2" s="559"/>
      <c r="DI2" s="559"/>
      <c r="DJ2" s="559"/>
      <c r="DK2" s="559"/>
      <c r="DL2" s="559"/>
      <c r="DM2" s="559"/>
      <c r="DN2" s="559"/>
      <c r="DO2" s="559" t="s">
        <v>467</v>
      </c>
      <c r="DP2" s="559"/>
      <c r="DQ2" s="559"/>
      <c r="DR2" s="559"/>
      <c r="DS2" s="559"/>
      <c r="DT2" s="559"/>
      <c r="DU2" s="559"/>
      <c r="DV2" s="559"/>
      <c r="DW2" s="559"/>
      <c r="DX2" s="559"/>
      <c r="DY2" s="559"/>
      <c r="DZ2" s="559"/>
      <c r="EA2" s="559"/>
      <c r="EB2" s="559" t="s">
        <v>468</v>
      </c>
      <c r="EC2" s="559"/>
      <c r="ED2" s="559"/>
      <c r="EE2" s="559"/>
      <c r="EF2" s="559"/>
      <c r="EG2" s="559"/>
      <c r="EH2" s="559"/>
      <c r="EI2" s="559"/>
      <c r="EJ2" s="559"/>
      <c r="EK2" s="559"/>
      <c r="EL2" s="559"/>
      <c r="EM2" s="559"/>
      <c r="EN2" s="559"/>
      <c r="EO2" s="560" t="s">
        <v>469</v>
      </c>
      <c r="EP2" s="560"/>
      <c r="EQ2" s="560"/>
      <c r="ER2" s="560"/>
      <c r="ES2" s="560"/>
      <c r="ET2" s="560"/>
      <c r="EU2" s="560"/>
      <c r="EV2" s="560"/>
      <c r="EW2" s="560"/>
      <c r="EX2" s="560"/>
      <c r="EY2" s="560"/>
      <c r="EZ2" s="560"/>
      <c r="FA2" s="560"/>
      <c r="FB2" s="560" t="s">
        <v>470</v>
      </c>
      <c r="FC2" s="560"/>
      <c r="FD2" s="560"/>
      <c r="FE2" s="560"/>
      <c r="FF2" s="560"/>
      <c r="FG2" s="560"/>
      <c r="FH2" s="560"/>
      <c r="FI2" s="560"/>
      <c r="FJ2" s="560"/>
      <c r="FK2" s="560"/>
      <c r="FL2" s="560"/>
      <c r="FM2" s="560"/>
      <c r="FN2" s="560"/>
      <c r="FO2" s="560" t="s">
        <v>471</v>
      </c>
      <c r="FP2" s="560"/>
      <c r="FQ2" s="560"/>
      <c r="FR2" s="560"/>
      <c r="FS2" s="560"/>
      <c r="FT2" s="560"/>
      <c r="FU2" s="560"/>
      <c r="FV2" s="560"/>
      <c r="FW2" s="560"/>
      <c r="FX2" s="560"/>
      <c r="FY2" s="560"/>
      <c r="FZ2" s="560"/>
      <c r="GA2" s="560"/>
      <c r="GB2" s="560" t="s">
        <v>472</v>
      </c>
      <c r="GC2" s="560"/>
      <c r="GD2" s="560"/>
      <c r="GE2" s="560"/>
      <c r="GF2" s="560"/>
      <c r="GG2" s="560"/>
      <c r="GH2" s="560"/>
      <c r="GI2" s="560"/>
      <c r="GJ2" s="560"/>
      <c r="GK2" s="560"/>
      <c r="GL2" s="560"/>
      <c r="GM2" s="560"/>
      <c r="GN2" s="560"/>
      <c r="GO2" s="560" t="s">
        <v>473</v>
      </c>
      <c r="GP2" s="560"/>
      <c r="GQ2" s="560"/>
      <c r="GR2" s="560"/>
      <c r="GS2" s="560"/>
      <c r="GT2" s="560"/>
      <c r="GU2" s="560"/>
      <c r="GV2" s="560"/>
      <c r="GW2" s="560"/>
      <c r="GX2" s="560"/>
      <c r="GY2" s="560"/>
      <c r="GZ2" s="560"/>
      <c r="HA2" s="560"/>
      <c r="HB2" s="562" t="s">
        <v>474</v>
      </c>
      <c r="HC2" s="562"/>
      <c r="HD2" s="562"/>
      <c r="HE2" s="562"/>
      <c r="HF2" s="562"/>
      <c r="HG2" s="562"/>
      <c r="HH2" s="562"/>
      <c r="HI2" s="562"/>
      <c r="HJ2" s="562"/>
      <c r="HK2" s="562"/>
      <c r="HL2" s="562"/>
      <c r="HM2" s="562"/>
      <c r="HN2" s="562"/>
      <c r="HO2" s="562" t="s">
        <v>475</v>
      </c>
      <c r="HP2" s="562"/>
      <c r="HQ2" s="562"/>
      <c r="HR2" s="562"/>
      <c r="HS2" s="562"/>
      <c r="HT2" s="562"/>
      <c r="HU2" s="562"/>
      <c r="HV2" s="562"/>
      <c r="HW2" s="562"/>
      <c r="HX2" s="562"/>
      <c r="HY2" s="562"/>
      <c r="HZ2" s="562"/>
      <c r="IA2" s="562"/>
      <c r="IB2" s="562" t="s">
        <v>476</v>
      </c>
      <c r="IC2" s="562"/>
      <c r="ID2" s="562"/>
      <c r="IE2" s="562"/>
      <c r="IF2" s="562"/>
      <c r="IG2" s="562"/>
      <c r="IH2" s="562"/>
      <c r="II2" s="562"/>
      <c r="IJ2" s="562"/>
      <c r="IK2" s="562"/>
      <c r="IL2" s="562"/>
      <c r="IM2" s="562"/>
      <c r="IN2" s="562"/>
      <c r="IO2" s="562" t="s">
        <v>477</v>
      </c>
      <c r="IP2" s="562"/>
      <c r="IQ2" s="562"/>
      <c r="IR2" s="562"/>
      <c r="IS2" s="562"/>
      <c r="IT2" s="562"/>
      <c r="IU2" s="562"/>
      <c r="IV2" s="562"/>
      <c r="IW2" s="562"/>
      <c r="IX2" s="562"/>
      <c r="IY2" s="562"/>
      <c r="IZ2" s="562"/>
      <c r="JA2" s="562"/>
      <c r="JB2" s="561" t="s">
        <v>478</v>
      </c>
      <c r="JC2" s="561"/>
      <c r="JD2" s="561"/>
      <c r="JE2" s="561"/>
      <c r="JF2" s="561"/>
      <c r="JG2" s="561"/>
      <c r="JH2" s="561"/>
      <c r="JI2" s="561"/>
      <c r="JJ2" s="561"/>
      <c r="JK2" s="561"/>
      <c r="JL2" s="561"/>
      <c r="JM2" s="561"/>
      <c r="JN2" s="561"/>
      <c r="JO2" s="561" t="s">
        <v>479</v>
      </c>
      <c r="JP2" s="561"/>
      <c r="JQ2" s="561"/>
      <c r="JR2" s="561"/>
      <c r="JS2" s="561"/>
      <c r="JT2" s="561"/>
      <c r="JU2" s="561"/>
      <c r="JV2" s="561"/>
      <c r="JW2" s="561"/>
      <c r="JX2" s="561"/>
      <c r="JY2" s="561"/>
      <c r="JZ2" s="561"/>
      <c r="KA2" s="561"/>
      <c r="KB2" s="561" t="s">
        <v>480</v>
      </c>
      <c r="KC2" s="561"/>
      <c r="KD2" s="561"/>
      <c r="KE2" s="561"/>
      <c r="KF2" s="561"/>
      <c r="KG2" s="561"/>
      <c r="KH2" s="561"/>
      <c r="KI2" s="561"/>
      <c r="KJ2" s="561"/>
      <c r="KK2" s="561"/>
      <c r="KL2" s="561"/>
      <c r="KM2" s="561"/>
      <c r="KN2" s="561"/>
      <c r="KO2" s="561" t="s">
        <v>481</v>
      </c>
      <c r="KP2" s="561"/>
      <c r="KQ2" s="561"/>
      <c r="KR2" s="561"/>
      <c r="KS2" s="561"/>
      <c r="KT2" s="561"/>
      <c r="KU2" s="561"/>
      <c r="KV2" s="561"/>
      <c r="KW2" s="561"/>
      <c r="KX2" s="561"/>
      <c r="KY2" s="561"/>
      <c r="KZ2" s="561"/>
      <c r="LA2" s="561"/>
      <c r="LB2" s="561" t="s">
        <v>482</v>
      </c>
      <c r="LC2" s="561"/>
      <c r="LD2" s="561"/>
      <c r="LE2" s="561"/>
      <c r="LF2" s="561"/>
      <c r="LG2" s="561"/>
      <c r="LH2" s="561"/>
      <c r="LI2" s="561"/>
      <c r="LJ2" s="561"/>
      <c r="LK2" s="561"/>
      <c r="LL2" s="561"/>
      <c r="LM2" s="561"/>
      <c r="LN2" s="561"/>
      <c r="LO2" s="563" t="s">
        <v>483</v>
      </c>
      <c r="LP2" s="564"/>
      <c r="LQ2" s="564"/>
      <c r="LR2" s="564"/>
      <c r="LS2" s="564"/>
      <c r="LT2" s="564"/>
      <c r="LU2" s="564"/>
      <c r="LV2" s="564"/>
      <c r="LW2" s="564"/>
      <c r="LX2" s="564"/>
      <c r="LY2" s="564"/>
      <c r="LZ2" s="564"/>
      <c r="MA2" s="565"/>
      <c r="MB2" s="561" t="s">
        <v>484</v>
      </c>
      <c r="MC2" s="561"/>
      <c r="MD2" s="561"/>
      <c r="ME2" s="561"/>
      <c r="MF2" s="561"/>
      <c r="MG2" s="561"/>
      <c r="MH2" s="561"/>
      <c r="MI2" s="561"/>
      <c r="MJ2" s="561"/>
      <c r="MK2" s="561"/>
      <c r="ML2" s="561"/>
      <c r="MM2" s="561"/>
      <c r="MN2" s="561"/>
      <c r="MO2" s="561" t="s">
        <v>485</v>
      </c>
      <c r="MP2" s="561"/>
      <c r="MQ2" s="561"/>
      <c r="MR2" s="561"/>
      <c r="MS2" s="561"/>
      <c r="MT2" s="561"/>
      <c r="MU2" s="561"/>
      <c r="MV2" s="561"/>
      <c r="MW2" s="561"/>
      <c r="MX2" s="561"/>
      <c r="MY2" s="561"/>
      <c r="MZ2" s="561"/>
      <c r="NA2" s="561"/>
      <c r="NB2" s="561" t="s">
        <v>486</v>
      </c>
      <c r="NC2" s="561"/>
      <c r="ND2" s="561"/>
      <c r="NE2" s="561"/>
      <c r="NF2" s="561"/>
      <c r="NG2" s="561"/>
      <c r="NH2" s="561"/>
      <c r="NI2" s="561"/>
      <c r="NJ2" s="561"/>
      <c r="NK2" s="561"/>
      <c r="NL2" s="561"/>
      <c r="NM2" s="561"/>
      <c r="NN2" s="561"/>
      <c r="NO2" s="561" t="s">
        <v>487</v>
      </c>
      <c r="NP2" s="561"/>
      <c r="NQ2" s="561"/>
      <c r="NR2" s="561"/>
      <c r="NS2" s="561"/>
      <c r="NT2" s="561"/>
      <c r="NU2" s="561"/>
      <c r="NV2" s="561"/>
      <c r="NW2" s="561"/>
      <c r="NX2" s="561"/>
      <c r="NY2" s="561"/>
      <c r="NZ2" s="561"/>
      <c r="OA2" s="561"/>
      <c r="OB2" s="561" t="s">
        <v>488</v>
      </c>
      <c r="OC2" s="561"/>
      <c r="OD2" s="561"/>
      <c r="OE2" s="561"/>
      <c r="OF2" s="561"/>
      <c r="OG2" s="561"/>
      <c r="OH2" s="561"/>
      <c r="OI2" s="561"/>
      <c r="OJ2" s="561"/>
      <c r="OK2" s="561"/>
      <c r="OL2" s="561"/>
      <c r="OM2" s="561"/>
      <c r="ON2" s="561"/>
      <c r="OO2" s="561" t="s">
        <v>489</v>
      </c>
      <c r="OP2" s="561"/>
      <c r="OQ2" s="561"/>
      <c r="OR2" s="561"/>
      <c r="OS2" s="561"/>
      <c r="OT2" s="561"/>
      <c r="OU2" s="561"/>
      <c r="OV2" s="561"/>
      <c r="OW2" s="561"/>
      <c r="OX2" s="561"/>
      <c r="OY2" s="561"/>
      <c r="OZ2" s="561"/>
      <c r="PA2" s="561"/>
      <c r="PB2" s="561" t="s">
        <v>490</v>
      </c>
      <c r="PC2" s="561"/>
      <c r="PD2" s="561"/>
      <c r="PE2" s="561"/>
      <c r="PF2" s="561"/>
      <c r="PG2" s="561"/>
      <c r="PH2" s="561"/>
      <c r="PI2" s="561"/>
      <c r="PJ2" s="561"/>
      <c r="PK2" s="561"/>
      <c r="PL2" s="561"/>
      <c r="PM2" s="561"/>
      <c r="PN2" s="561"/>
      <c r="PO2" s="561" t="s">
        <v>491</v>
      </c>
      <c r="PP2" s="561"/>
      <c r="PQ2" s="561"/>
      <c r="PR2" s="561"/>
      <c r="PS2" s="561"/>
      <c r="PT2" s="561"/>
      <c r="PU2" s="561"/>
      <c r="PV2" s="561"/>
      <c r="PW2" s="561"/>
      <c r="PX2" s="561"/>
      <c r="PY2" s="561"/>
      <c r="PZ2" s="561"/>
      <c r="QA2" s="561"/>
      <c r="QB2" s="561" t="s">
        <v>492</v>
      </c>
      <c r="QC2" s="561"/>
      <c r="QD2" s="561"/>
      <c r="QE2" s="561"/>
      <c r="QF2" s="561"/>
      <c r="QG2" s="561"/>
      <c r="QH2" s="561"/>
      <c r="QI2" s="561"/>
      <c r="QJ2" s="561"/>
      <c r="QK2" s="561"/>
      <c r="QL2" s="561"/>
      <c r="QM2" s="561"/>
      <c r="QN2" s="561"/>
      <c r="QO2" s="561" t="s">
        <v>493</v>
      </c>
      <c r="QP2" s="561"/>
      <c r="QQ2" s="561"/>
      <c r="QR2" s="561"/>
      <c r="QS2" s="561"/>
      <c r="QT2" s="561"/>
      <c r="QU2" s="561"/>
      <c r="QV2" s="561"/>
      <c r="QW2" s="561"/>
      <c r="QX2" s="561"/>
      <c r="QY2" s="561"/>
      <c r="QZ2" s="561"/>
      <c r="RA2" s="561"/>
      <c r="RB2" s="561" t="s">
        <v>494</v>
      </c>
      <c r="RC2" s="561"/>
      <c r="RD2" s="561"/>
      <c r="RE2" s="561"/>
      <c r="RF2" s="561"/>
      <c r="RG2" s="561"/>
      <c r="RH2" s="561"/>
      <c r="RI2" s="561"/>
      <c r="RJ2" s="561"/>
      <c r="RK2" s="561"/>
      <c r="RL2" s="561"/>
      <c r="RM2" s="561"/>
      <c r="RN2" s="561"/>
      <c r="RO2" s="561" t="s">
        <v>495</v>
      </c>
      <c r="RP2" s="561"/>
      <c r="RQ2" s="561"/>
      <c r="RR2" s="561"/>
      <c r="RS2" s="561"/>
      <c r="RT2" s="561"/>
      <c r="RU2" s="561"/>
      <c r="RV2" s="561"/>
      <c r="RW2" s="561"/>
      <c r="RX2" s="561"/>
      <c r="RY2" s="561"/>
      <c r="RZ2" s="561"/>
      <c r="SA2" s="561"/>
      <c r="SB2" s="561" t="s">
        <v>496</v>
      </c>
      <c r="SC2" s="561"/>
      <c r="SD2" s="561"/>
      <c r="SE2" s="561"/>
      <c r="SF2" s="561"/>
      <c r="SG2" s="561"/>
      <c r="SH2" s="561"/>
      <c r="SI2" s="561"/>
      <c r="SJ2" s="561"/>
      <c r="SK2" s="561"/>
      <c r="SL2" s="561"/>
      <c r="SM2" s="561"/>
      <c r="SN2" s="561"/>
      <c r="SO2" s="561" t="s">
        <v>497</v>
      </c>
      <c r="SP2" s="561"/>
      <c r="SQ2" s="561"/>
      <c r="SR2" s="561"/>
      <c r="SS2" s="561"/>
      <c r="ST2" s="561"/>
      <c r="SU2" s="561"/>
      <c r="SV2" s="561"/>
      <c r="SW2" s="561"/>
      <c r="SX2" s="561"/>
      <c r="SY2" s="561"/>
      <c r="SZ2" s="561"/>
      <c r="TA2" s="561"/>
      <c r="TB2" s="561" t="s">
        <v>498</v>
      </c>
      <c r="TC2" s="561"/>
      <c r="TD2" s="561"/>
      <c r="TE2" s="561"/>
      <c r="TF2" s="561"/>
      <c r="TG2" s="561"/>
      <c r="TH2" s="561"/>
      <c r="TI2" s="561"/>
      <c r="TJ2" s="561"/>
      <c r="TK2" s="561"/>
      <c r="TL2" s="561"/>
      <c r="TM2" s="561"/>
      <c r="TN2" s="561"/>
      <c r="TO2" s="561" t="s">
        <v>499</v>
      </c>
      <c r="TP2" s="561"/>
      <c r="TQ2" s="561"/>
      <c r="TR2" s="561"/>
      <c r="TS2" s="561"/>
      <c r="TT2" s="561"/>
      <c r="TU2" s="561"/>
      <c r="TV2" s="561"/>
      <c r="TW2" s="561"/>
      <c r="TX2" s="561"/>
      <c r="TY2" s="561"/>
      <c r="TZ2" s="561"/>
      <c r="UA2" s="561"/>
      <c r="UB2" s="566" t="s">
        <v>500</v>
      </c>
      <c r="UC2" s="567"/>
      <c r="UD2" s="567"/>
      <c r="UE2" s="567"/>
      <c r="UF2" s="567"/>
      <c r="UG2" s="567"/>
      <c r="UH2" s="567"/>
      <c r="UI2" s="567"/>
      <c r="UJ2" s="567"/>
      <c r="UK2" s="567"/>
      <c r="UL2" s="567"/>
      <c r="UM2" s="567"/>
      <c r="UN2" s="568"/>
      <c r="UO2" s="566" t="s">
        <v>501</v>
      </c>
      <c r="UP2" s="567"/>
      <c r="UQ2" s="567"/>
      <c r="UR2" s="567"/>
      <c r="US2" s="567"/>
      <c r="UT2" s="567"/>
      <c r="UU2" s="567"/>
      <c r="UV2" s="567"/>
      <c r="UW2" s="567"/>
      <c r="UX2" s="567"/>
      <c r="UY2" s="567"/>
      <c r="UZ2" s="567"/>
      <c r="VA2" s="568"/>
      <c r="VB2" s="566" t="s">
        <v>1900</v>
      </c>
      <c r="VC2" s="567"/>
      <c r="VD2" s="567"/>
      <c r="VE2" s="567"/>
      <c r="VF2" s="567"/>
      <c r="VG2" s="567"/>
      <c r="VH2" s="567"/>
      <c r="VI2" s="567"/>
      <c r="VJ2" s="567"/>
      <c r="VK2" s="567"/>
      <c r="VL2" s="567"/>
      <c r="VM2" s="567"/>
      <c r="VN2" s="568"/>
      <c r="VO2" s="566" t="s">
        <v>1899</v>
      </c>
      <c r="VP2" s="567"/>
      <c r="VQ2" s="567"/>
      <c r="VR2" s="567"/>
      <c r="VS2" s="567"/>
      <c r="VT2" s="567"/>
      <c r="VU2" s="567"/>
      <c r="VV2" s="567"/>
      <c r="VW2" s="567"/>
      <c r="VX2" s="567"/>
      <c r="VY2" s="567"/>
      <c r="VZ2" s="567"/>
      <c r="WA2" s="568"/>
      <c r="WB2" s="566" t="s">
        <v>502</v>
      </c>
      <c r="WC2" s="567"/>
      <c r="WD2" s="567"/>
      <c r="WE2" s="567"/>
      <c r="WF2" s="567"/>
      <c r="WG2" s="567"/>
      <c r="WH2" s="567"/>
      <c r="WI2" s="567"/>
      <c r="WJ2" s="567"/>
      <c r="WK2" s="567"/>
      <c r="WL2" s="567"/>
      <c r="WM2" s="567"/>
      <c r="WN2" s="568"/>
      <c r="WO2" s="566" t="s">
        <v>503</v>
      </c>
      <c r="WP2" s="567"/>
      <c r="WQ2" s="567"/>
      <c r="WR2" s="567"/>
      <c r="WS2" s="567"/>
      <c r="WT2" s="567"/>
      <c r="WU2" s="567"/>
      <c r="WV2" s="567"/>
      <c r="WW2" s="567"/>
      <c r="WX2" s="567"/>
      <c r="WY2" s="567"/>
      <c r="WZ2" s="567"/>
      <c r="XA2" s="568"/>
      <c r="XB2" s="566" t="s">
        <v>504</v>
      </c>
      <c r="XC2" s="567"/>
      <c r="XD2" s="567"/>
      <c r="XE2" s="567"/>
      <c r="XF2" s="567"/>
      <c r="XG2" s="567"/>
      <c r="XH2" s="567"/>
      <c r="XI2" s="567"/>
      <c r="XJ2" s="567"/>
      <c r="XK2" s="567"/>
      <c r="XL2" s="567"/>
      <c r="XM2" s="567"/>
      <c r="XN2" s="568"/>
      <c r="XO2" s="566" t="s">
        <v>505</v>
      </c>
      <c r="XP2" s="567"/>
      <c r="XQ2" s="567"/>
      <c r="XR2" s="567"/>
      <c r="XS2" s="567"/>
      <c r="XT2" s="567"/>
      <c r="XU2" s="567"/>
      <c r="XV2" s="567"/>
      <c r="XW2" s="567"/>
      <c r="XX2" s="567"/>
      <c r="XY2" s="567"/>
      <c r="XZ2" s="567"/>
      <c r="YA2" s="568"/>
      <c r="YB2" s="566" t="s">
        <v>506</v>
      </c>
      <c r="YC2" s="567"/>
      <c r="YD2" s="567"/>
      <c r="YE2" s="567"/>
      <c r="YF2" s="567"/>
      <c r="YG2" s="567"/>
      <c r="YH2" s="567"/>
      <c r="YI2" s="567"/>
      <c r="YJ2" s="567"/>
      <c r="YK2" s="567"/>
      <c r="YL2" s="567"/>
      <c r="YM2" s="567"/>
      <c r="YN2" s="568"/>
      <c r="YO2" s="566" t="s">
        <v>507</v>
      </c>
      <c r="YP2" s="567"/>
      <c r="YQ2" s="567"/>
      <c r="YR2" s="567"/>
      <c r="YS2" s="567"/>
      <c r="YT2" s="567"/>
      <c r="YU2" s="567"/>
      <c r="YV2" s="567"/>
      <c r="YW2" s="567"/>
      <c r="YX2" s="567"/>
      <c r="YY2" s="567"/>
      <c r="YZ2" s="567"/>
      <c r="ZA2" s="568"/>
      <c r="ZB2" s="566" t="s">
        <v>508</v>
      </c>
      <c r="ZC2" s="567"/>
      <c r="ZD2" s="567"/>
      <c r="ZE2" s="567"/>
      <c r="ZF2" s="567"/>
      <c r="ZG2" s="567"/>
      <c r="ZH2" s="567"/>
      <c r="ZI2" s="567"/>
      <c r="ZJ2" s="567"/>
      <c r="ZK2" s="567"/>
      <c r="ZL2" s="567"/>
      <c r="ZM2" s="567"/>
      <c r="ZN2" s="568"/>
      <c r="ZO2" s="566" t="s">
        <v>509</v>
      </c>
      <c r="ZP2" s="567"/>
      <c r="ZQ2" s="567"/>
      <c r="ZR2" s="567"/>
      <c r="ZS2" s="567"/>
      <c r="ZT2" s="567"/>
      <c r="ZU2" s="567"/>
      <c r="ZV2" s="567"/>
      <c r="ZW2" s="567"/>
      <c r="ZX2" s="567"/>
      <c r="ZY2" s="567"/>
      <c r="ZZ2" s="567"/>
      <c r="AAA2" s="568"/>
      <c r="AAB2" s="569" t="s">
        <v>510</v>
      </c>
      <c r="AAC2" s="570"/>
      <c r="AAD2" s="570"/>
      <c r="AAE2" s="570"/>
      <c r="AAF2" s="570"/>
      <c r="AAG2" s="570"/>
      <c r="AAH2" s="570"/>
      <c r="AAI2" s="570"/>
      <c r="AAJ2" s="570"/>
      <c r="AAK2" s="570"/>
      <c r="AAL2" s="570"/>
      <c r="AAM2" s="570"/>
      <c r="AAN2" s="571"/>
      <c r="AAO2" s="569" t="s">
        <v>511</v>
      </c>
      <c r="AAP2" s="570"/>
      <c r="AAQ2" s="570"/>
      <c r="AAR2" s="570"/>
      <c r="AAS2" s="570"/>
      <c r="AAT2" s="570"/>
      <c r="AAU2" s="570"/>
      <c r="AAV2" s="570"/>
      <c r="AAW2" s="570"/>
      <c r="AAX2" s="570"/>
      <c r="AAY2" s="570"/>
      <c r="AAZ2" s="570"/>
      <c r="ABA2" s="571"/>
      <c r="ABB2" s="569" t="s">
        <v>512</v>
      </c>
      <c r="ABC2" s="570"/>
      <c r="ABD2" s="570"/>
      <c r="ABE2" s="570"/>
      <c r="ABF2" s="570"/>
      <c r="ABG2" s="570"/>
      <c r="ABH2" s="570"/>
      <c r="ABI2" s="570"/>
      <c r="ABJ2" s="570"/>
      <c r="ABK2" s="570"/>
      <c r="ABL2" s="570"/>
      <c r="ABM2" s="570"/>
      <c r="ABN2" s="571"/>
      <c r="ABO2" s="569" t="s">
        <v>513</v>
      </c>
      <c r="ABP2" s="570"/>
      <c r="ABQ2" s="570"/>
      <c r="ABR2" s="570"/>
      <c r="ABS2" s="570"/>
      <c r="ABT2" s="570"/>
      <c r="ABU2" s="570"/>
      <c r="ABV2" s="570"/>
      <c r="ABW2" s="570"/>
      <c r="ABX2" s="570"/>
      <c r="ABY2" s="570"/>
      <c r="ABZ2" s="570"/>
      <c r="ACA2" s="571"/>
      <c r="ACB2" s="569" t="s">
        <v>514</v>
      </c>
      <c r="ACC2" s="570"/>
      <c r="ACD2" s="570"/>
      <c r="ACE2" s="570"/>
      <c r="ACF2" s="570"/>
      <c r="ACG2" s="570"/>
      <c r="ACH2" s="570"/>
      <c r="ACI2" s="570"/>
      <c r="ACJ2" s="570"/>
      <c r="ACK2" s="570"/>
      <c r="ACL2" s="570"/>
      <c r="ACM2" s="570"/>
      <c r="ACN2" s="571"/>
      <c r="ACO2" s="569" t="s">
        <v>515</v>
      </c>
      <c r="ACP2" s="570"/>
      <c r="ACQ2" s="570"/>
      <c r="ACR2" s="570"/>
      <c r="ACS2" s="570"/>
      <c r="ACT2" s="570"/>
      <c r="ACU2" s="570"/>
      <c r="ACV2" s="570"/>
      <c r="ACW2" s="570"/>
      <c r="ACX2" s="570"/>
      <c r="ACY2" s="570"/>
      <c r="ACZ2" s="570"/>
      <c r="ADA2" s="571"/>
      <c r="ADB2" s="569" t="s">
        <v>516</v>
      </c>
      <c r="ADC2" s="570"/>
      <c r="ADD2" s="570"/>
      <c r="ADE2" s="570"/>
      <c r="ADF2" s="570"/>
      <c r="ADG2" s="570"/>
      <c r="ADH2" s="570"/>
      <c r="ADI2" s="570"/>
      <c r="ADJ2" s="570"/>
      <c r="ADK2" s="570"/>
      <c r="ADL2" s="570"/>
      <c r="ADM2" s="570"/>
      <c r="ADN2" s="571"/>
      <c r="ADO2" s="569" t="s">
        <v>517</v>
      </c>
      <c r="ADP2" s="570"/>
      <c r="ADQ2" s="570"/>
      <c r="ADR2" s="570"/>
      <c r="ADS2" s="570"/>
      <c r="ADT2" s="570"/>
      <c r="ADU2" s="570"/>
      <c r="ADV2" s="570"/>
      <c r="ADW2" s="570"/>
      <c r="ADX2" s="570"/>
      <c r="ADY2" s="570"/>
      <c r="ADZ2" s="570"/>
      <c r="AEA2" s="571"/>
      <c r="AEB2" s="569" t="s">
        <v>518</v>
      </c>
      <c r="AEC2" s="570"/>
      <c r="AED2" s="570"/>
      <c r="AEE2" s="570"/>
      <c r="AEF2" s="570"/>
      <c r="AEG2" s="570"/>
      <c r="AEH2" s="570"/>
      <c r="AEI2" s="570"/>
      <c r="AEJ2" s="570"/>
      <c r="AEK2" s="570"/>
      <c r="AEL2" s="570"/>
      <c r="AEM2" s="570"/>
      <c r="AEN2" s="571"/>
      <c r="AEO2" s="569" t="s">
        <v>519</v>
      </c>
      <c r="AEP2" s="570"/>
      <c r="AEQ2" s="570"/>
      <c r="AER2" s="570"/>
      <c r="AES2" s="570"/>
      <c r="AET2" s="570"/>
      <c r="AEU2" s="570"/>
      <c r="AEV2" s="570"/>
      <c r="AEW2" s="570"/>
      <c r="AEX2" s="570"/>
      <c r="AEY2" s="570"/>
      <c r="AEZ2" s="570"/>
      <c r="AFA2" s="571"/>
      <c r="AFB2" s="569" t="s">
        <v>520</v>
      </c>
      <c r="AFC2" s="570"/>
      <c r="AFD2" s="570"/>
      <c r="AFE2" s="570"/>
      <c r="AFF2" s="570"/>
      <c r="AFG2" s="570"/>
      <c r="AFH2" s="570"/>
      <c r="AFI2" s="570"/>
      <c r="AFJ2" s="570"/>
      <c r="AFK2" s="570"/>
      <c r="AFL2" s="570"/>
      <c r="AFM2" s="570"/>
      <c r="AFN2" s="571"/>
      <c r="AFO2" s="569" t="s">
        <v>521</v>
      </c>
      <c r="AFP2" s="570"/>
      <c r="AFQ2" s="570"/>
      <c r="AFR2" s="570"/>
      <c r="AFS2" s="570"/>
      <c r="AFT2" s="570"/>
      <c r="AFU2" s="570"/>
      <c r="AFV2" s="570"/>
      <c r="AFW2" s="570"/>
      <c r="AFX2" s="570"/>
      <c r="AFY2" s="570"/>
      <c r="AFZ2" s="570"/>
      <c r="AGA2" s="571"/>
      <c r="AGB2" s="569" t="s">
        <v>522</v>
      </c>
      <c r="AGC2" s="570"/>
      <c r="AGD2" s="570"/>
      <c r="AGE2" s="570"/>
      <c r="AGF2" s="570"/>
      <c r="AGG2" s="570"/>
      <c r="AGH2" s="570"/>
      <c r="AGI2" s="570"/>
      <c r="AGJ2" s="570"/>
      <c r="AGK2" s="570"/>
      <c r="AGL2" s="570"/>
      <c r="AGM2" s="570"/>
      <c r="AGN2" s="571"/>
      <c r="AGO2" s="569" t="s">
        <v>523</v>
      </c>
      <c r="AGP2" s="570"/>
      <c r="AGQ2" s="570"/>
      <c r="AGR2" s="570"/>
      <c r="AGS2" s="570"/>
      <c r="AGT2" s="570"/>
      <c r="AGU2" s="570"/>
      <c r="AGV2" s="570"/>
      <c r="AGW2" s="570"/>
      <c r="AGX2" s="570"/>
      <c r="AGY2" s="570"/>
      <c r="AGZ2" s="570"/>
      <c r="AHA2" s="571"/>
      <c r="AHB2" s="569" t="s">
        <v>524</v>
      </c>
      <c r="AHC2" s="570"/>
      <c r="AHD2" s="570"/>
      <c r="AHE2" s="570"/>
      <c r="AHF2" s="570"/>
      <c r="AHG2" s="570"/>
      <c r="AHH2" s="570"/>
      <c r="AHI2" s="570"/>
      <c r="AHJ2" s="570"/>
      <c r="AHK2" s="570"/>
      <c r="AHL2" s="570"/>
      <c r="AHM2" s="570"/>
      <c r="AHN2" s="571"/>
      <c r="AHO2" s="326" t="s">
        <v>525</v>
      </c>
      <c r="AHP2" s="326"/>
      <c r="AHQ2" s="326"/>
      <c r="AHR2" s="326"/>
      <c r="AHS2" s="326"/>
      <c r="AHT2" s="326"/>
      <c r="AHU2" s="326"/>
      <c r="AHV2" s="326"/>
      <c r="AHW2" s="326"/>
      <c r="AHX2" s="326"/>
      <c r="AHY2" s="326"/>
      <c r="AHZ2" s="326"/>
      <c r="AIA2" s="326"/>
      <c r="AIB2" s="569" t="s">
        <v>526</v>
      </c>
      <c r="AIC2" s="570"/>
      <c r="AID2" s="570"/>
      <c r="AIE2" s="570"/>
      <c r="AIF2" s="570"/>
      <c r="AIG2" s="570"/>
      <c r="AIH2" s="570"/>
      <c r="AII2" s="570"/>
      <c r="AIJ2" s="570"/>
      <c r="AIK2" s="570"/>
      <c r="AIL2" s="570"/>
      <c r="AIM2" s="570"/>
      <c r="AIN2" s="571"/>
      <c r="AIO2" s="569" t="s">
        <v>527</v>
      </c>
      <c r="AIP2" s="570"/>
      <c r="AIQ2" s="570"/>
      <c r="AIR2" s="570"/>
      <c r="AIS2" s="570"/>
      <c r="AIT2" s="570"/>
      <c r="AIU2" s="570"/>
      <c r="AIV2" s="570"/>
      <c r="AIW2" s="570"/>
      <c r="AIX2" s="570"/>
      <c r="AIY2" s="570"/>
      <c r="AIZ2" s="570"/>
      <c r="AJA2" s="571"/>
      <c r="AJB2" s="572" t="s">
        <v>528</v>
      </c>
      <c r="AJC2" s="573"/>
      <c r="AJD2" s="573"/>
      <c r="AJE2" s="573"/>
      <c r="AJF2" s="573"/>
      <c r="AJG2" s="573"/>
      <c r="AJH2" s="573"/>
      <c r="AJI2" s="573"/>
      <c r="AJJ2" s="573"/>
      <c r="AJK2" s="573"/>
      <c r="AJL2" s="573"/>
      <c r="AJM2" s="573"/>
      <c r="AJN2" s="574"/>
      <c r="AJO2" s="572" t="s">
        <v>529</v>
      </c>
      <c r="AJP2" s="573"/>
      <c r="AJQ2" s="573"/>
      <c r="AJR2" s="573"/>
      <c r="AJS2" s="573"/>
      <c r="AJT2" s="573"/>
      <c r="AJU2" s="573"/>
      <c r="AJV2" s="573"/>
      <c r="AJW2" s="573"/>
      <c r="AJX2" s="573"/>
      <c r="AJY2" s="573"/>
      <c r="AJZ2" s="573"/>
      <c r="AKA2" s="574"/>
      <c r="AKB2" s="572" t="s">
        <v>530</v>
      </c>
      <c r="AKC2" s="573"/>
      <c r="AKD2" s="573"/>
      <c r="AKE2" s="573"/>
      <c r="AKF2" s="573"/>
      <c r="AKG2" s="573"/>
      <c r="AKH2" s="573"/>
      <c r="AKI2" s="573"/>
      <c r="AKJ2" s="573"/>
      <c r="AKK2" s="573"/>
      <c r="AKL2" s="573"/>
      <c r="AKM2" s="573"/>
      <c r="AKN2" s="574"/>
      <c r="AKO2" s="572" t="s">
        <v>531</v>
      </c>
      <c r="AKP2" s="573"/>
      <c r="AKQ2" s="573"/>
      <c r="AKR2" s="573"/>
      <c r="AKS2" s="573"/>
      <c r="AKT2" s="573"/>
      <c r="AKU2" s="573"/>
      <c r="AKV2" s="573"/>
      <c r="AKW2" s="573"/>
      <c r="AKX2" s="573"/>
      <c r="AKY2" s="573"/>
      <c r="AKZ2" s="573"/>
      <c r="ALA2" s="574"/>
      <c r="ALB2" s="572" t="s">
        <v>532</v>
      </c>
      <c r="ALC2" s="573"/>
      <c r="ALD2" s="573"/>
      <c r="ALE2" s="573"/>
      <c r="ALF2" s="573"/>
      <c r="ALG2" s="573"/>
      <c r="ALH2" s="573"/>
      <c r="ALI2" s="573"/>
      <c r="ALJ2" s="573"/>
      <c r="ALK2" s="573"/>
      <c r="ALL2" s="573"/>
      <c r="ALM2" s="573"/>
      <c r="ALN2" s="574"/>
      <c r="ALO2" s="572" t="s">
        <v>533</v>
      </c>
      <c r="ALP2" s="573"/>
      <c r="ALQ2" s="573"/>
      <c r="ALR2" s="573"/>
      <c r="ALS2" s="573"/>
      <c r="ALT2" s="573"/>
      <c r="ALU2" s="573"/>
      <c r="ALV2" s="573"/>
      <c r="ALW2" s="573"/>
      <c r="ALX2" s="573"/>
      <c r="ALY2" s="573"/>
      <c r="ALZ2" s="573"/>
      <c r="AMA2" s="574"/>
      <c r="AMB2" s="572" t="s">
        <v>534</v>
      </c>
      <c r="AMC2" s="573"/>
      <c r="AMD2" s="573"/>
      <c r="AME2" s="573"/>
      <c r="AMF2" s="573"/>
      <c r="AMG2" s="573"/>
      <c r="AMH2" s="573"/>
      <c r="AMI2" s="573"/>
      <c r="AMJ2" s="573"/>
      <c r="AMK2" s="573"/>
      <c r="AML2" s="573"/>
      <c r="AMM2" s="573"/>
      <c r="AMN2" s="574"/>
      <c r="AMO2" s="572" t="s">
        <v>535</v>
      </c>
      <c r="AMP2" s="573"/>
      <c r="AMQ2" s="573"/>
      <c r="AMR2" s="573"/>
      <c r="AMS2" s="573"/>
      <c r="AMT2" s="573"/>
      <c r="AMU2" s="573"/>
      <c r="AMV2" s="573"/>
      <c r="AMW2" s="573"/>
      <c r="AMX2" s="573"/>
      <c r="AMY2" s="573"/>
      <c r="AMZ2" s="573"/>
      <c r="ANA2" s="574"/>
      <c r="ANB2" s="572" t="s">
        <v>536</v>
      </c>
      <c r="ANC2" s="573"/>
      <c r="AND2" s="573"/>
      <c r="ANE2" s="573"/>
      <c r="ANF2" s="573"/>
      <c r="ANG2" s="573"/>
      <c r="ANH2" s="573"/>
      <c r="ANI2" s="573"/>
      <c r="ANJ2" s="573"/>
      <c r="ANK2" s="573"/>
      <c r="ANL2" s="573"/>
      <c r="ANM2" s="573"/>
      <c r="ANN2" s="574"/>
      <c r="ANO2" s="572" t="s">
        <v>537</v>
      </c>
      <c r="ANP2" s="573"/>
      <c r="ANQ2" s="573"/>
      <c r="ANR2" s="573"/>
      <c r="ANS2" s="573"/>
      <c r="ANT2" s="573"/>
      <c r="ANU2" s="573"/>
      <c r="ANV2" s="573"/>
      <c r="ANW2" s="573"/>
      <c r="ANX2" s="573"/>
      <c r="ANY2" s="573"/>
      <c r="ANZ2" s="573"/>
      <c r="AOA2" s="574"/>
      <c r="AOB2" s="572" t="s">
        <v>538</v>
      </c>
      <c r="AOC2" s="573"/>
      <c r="AOD2" s="573"/>
      <c r="AOE2" s="573"/>
      <c r="AOF2" s="573"/>
      <c r="AOG2" s="573"/>
      <c r="AOH2" s="573"/>
      <c r="AOI2" s="573"/>
      <c r="AOJ2" s="573"/>
      <c r="AOK2" s="573"/>
      <c r="AOL2" s="573"/>
      <c r="AOM2" s="573"/>
      <c r="AON2" s="574"/>
      <c r="AOO2" s="572" t="s">
        <v>539</v>
      </c>
      <c r="AOP2" s="573"/>
      <c r="AOQ2" s="573"/>
      <c r="AOR2" s="573"/>
      <c r="AOS2" s="573"/>
      <c r="AOT2" s="573"/>
      <c r="AOU2" s="573"/>
      <c r="AOV2" s="573"/>
      <c r="AOW2" s="573"/>
      <c r="AOX2" s="573"/>
      <c r="AOY2" s="573"/>
      <c r="AOZ2" s="573"/>
      <c r="APA2" s="574"/>
      <c r="APB2" s="575" t="s">
        <v>540</v>
      </c>
      <c r="APC2" s="576"/>
      <c r="APD2" s="576"/>
      <c r="APE2" s="576"/>
      <c r="APF2" s="576"/>
      <c r="APG2" s="576"/>
      <c r="APH2" s="576"/>
      <c r="API2" s="576"/>
      <c r="APJ2" s="576"/>
      <c r="APK2" s="576"/>
      <c r="APL2" s="576"/>
      <c r="APM2" s="576"/>
      <c r="APN2" s="577"/>
      <c r="APO2" s="575" t="s">
        <v>541</v>
      </c>
      <c r="APP2" s="576"/>
      <c r="APQ2" s="576"/>
      <c r="APR2" s="576"/>
      <c r="APS2" s="576"/>
      <c r="APT2" s="576"/>
      <c r="APU2" s="576"/>
      <c r="APV2" s="576"/>
      <c r="APW2" s="576"/>
      <c r="APX2" s="576"/>
      <c r="APY2" s="576"/>
      <c r="APZ2" s="576"/>
      <c r="AQA2" s="577"/>
      <c r="AQB2" s="575" t="s">
        <v>542</v>
      </c>
      <c r="AQC2" s="576"/>
      <c r="AQD2" s="576"/>
      <c r="AQE2" s="576"/>
      <c r="AQF2" s="576"/>
      <c r="AQG2" s="576"/>
      <c r="AQH2" s="576"/>
      <c r="AQI2" s="576"/>
      <c r="AQJ2" s="576"/>
      <c r="AQK2" s="576"/>
      <c r="AQL2" s="576"/>
      <c r="AQM2" s="576"/>
      <c r="AQN2" s="577"/>
      <c r="AQO2" s="575" t="s">
        <v>543</v>
      </c>
      <c r="AQP2" s="576"/>
      <c r="AQQ2" s="576"/>
      <c r="AQR2" s="576"/>
      <c r="AQS2" s="576"/>
      <c r="AQT2" s="576"/>
      <c r="AQU2" s="576"/>
      <c r="AQV2" s="576"/>
      <c r="AQW2" s="576"/>
      <c r="AQX2" s="576"/>
      <c r="AQY2" s="576"/>
      <c r="AQZ2" s="576"/>
      <c r="ARA2" s="577"/>
      <c r="ARB2" s="575" t="s">
        <v>544</v>
      </c>
      <c r="ARC2" s="576"/>
      <c r="ARD2" s="576"/>
      <c r="ARE2" s="576"/>
      <c r="ARF2" s="576"/>
      <c r="ARG2" s="576"/>
      <c r="ARH2" s="576"/>
      <c r="ARI2" s="576"/>
      <c r="ARJ2" s="576"/>
      <c r="ARK2" s="576"/>
      <c r="ARL2" s="576"/>
      <c r="ARM2" s="576"/>
      <c r="ARN2" s="577"/>
      <c r="ARO2" s="575" t="s">
        <v>545</v>
      </c>
      <c r="ARP2" s="576"/>
      <c r="ARQ2" s="576"/>
      <c r="ARR2" s="576"/>
      <c r="ARS2" s="576"/>
      <c r="ART2" s="576"/>
      <c r="ARU2" s="576"/>
      <c r="ARV2" s="576"/>
      <c r="ARW2" s="576"/>
      <c r="ARX2" s="576"/>
      <c r="ARY2" s="576"/>
      <c r="ARZ2" s="576"/>
      <c r="ASA2" s="577"/>
      <c r="ASB2" s="575" t="s">
        <v>546</v>
      </c>
      <c r="ASC2" s="576"/>
      <c r="ASD2" s="576"/>
      <c r="ASE2" s="576"/>
      <c r="ASF2" s="576"/>
      <c r="ASG2" s="576"/>
      <c r="ASH2" s="576"/>
      <c r="ASI2" s="576"/>
      <c r="ASJ2" s="576"/>
      <c r="ASK2" s="576"/>
      <c r="ASL2" s="576"/>
      <c r="ASM2" s="576"/>
      <c r="ASN2" s="577"/>
      <c r="ASO2" s="575" t="s">
        <v>547</v>
      </c>
      <c r="ASP2" s="576"/>
      <c r="ASQ2" s="576"/>
      <c r="ASR2" s="576"/>
      <c r="ASS2" s="576"/>
      <c r="AST2" s="576"/>
      <c r="ASU2" s="576"/>
      <c r="ASV2" s="576"/>
      <c r="ASW2" s="576"/>
      <c r="ASX2" s="576"/>
      <c r="ASY2" s="576"/>
      <c r="ASZ2" s="576"/>
      <c r="ATA2" s="577"/>
      <c r="ATB2" s="575" t="s">
        <v>548</v>
      </c>
      <c r="ATC2" s="576"/>
      <c r="ATD2" s="576"/>
      <c r="ATE2" s="576"/>
      <c r="ATF2" s="576"/>
      <c r="ATG2" s="576"/>
      <c r="ATH2" s="576"/>
      <c r="ATI2" s="576"/>
      <c r="ATJ2" s="576"/>
      <c r="ATK2" s="576"/>
      <c r="ATL2" s="576"/>
      <c r="ATM2" s="576"/>
      <c r="ATN2" s="577"/>
      <c r="ATO2" s="575" t="s">
        <v>549</v>
      </c>
      <c r="ATP2" s="576"/>
      <c r="ATQ2" s="576"/>
      <c r="ATR2" s="576"/>
      <c r="ATS2" s="576"/>
      <c r="ATT2" s="576"/>
      <c r="ATU2" s="576"/>
      <c r="ATV2" s="576"/>
      <c r="ATW2" s="576"/>
      <c r="ATX2" s="576"/>
      <c r="ATY2" s="576"/>
      <c r="ATZ2" s="576"/>
      <c r="AUA2" s="577"/>
      <c r="AUB2" s="578" t="s">
        <v>550</v>
      </c>
      <c r="AUC2" s="579"/>
      <c r="AUD2" s="579"/>
      <c r="AUE2" s="579"/>
      <c r="AUF2" s="579"/>
      <c r="AUG2" s="579"/>
      <c r="AUH2" s="579"/>
      <c r="AUI2" s="579"/>
      <c r="AUJ2" s="579"/>
      <c r="AUK2" s="579"/>
      <c r="AUL2" s="579"/>
      <c r="AUM2" s="579"/>
      <c r="AUN2" s="580"/>
      <c r="AUO2" s="578" t="s">
        <v>551</v>
      </c>
      <c r="AUP2" s="579"/>
      <c r="AUQ2" s="579"/>
      <c r="AUR2" s="579"/>
      <c r="AUS2" s="579"/>
      <c r="AUT2" s="579"/>
      <c r="AUU2" s="579"/>
      <c r="AUV2" s="579"/>
      <c r="AUW2" s="579"/>
      <c r="AUX2" s="579"/>
      <c r="AUY2" s="579"/>
      <c r="AUZ2" s="579"/>
      <c r="AVA2" s="581"/>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58"/>
      <c r="D2" s="558"/>
      <c r="E2" s="558"/>
      <c r="F2" s="558"/>
      <c r="G2" s="558"/>
      <c r="H2" s="558"/>
      <c r="I2" s="558"/>
      <c r="J2" s="558"/>
      <c r="K2" s="558"/>
      <c r="L2" s="558"/>
      <c r="M2" s="558"/>
      <c r="N2" s="590"/>
      <c r="P2" s="591" t="s">
        <v>591</v>
      </c>
      <c r="Q2" s="559"/>
      <c r="R2" s="559"/>
      <c r="S2" s="559"/>
      <c r="T2" s="559"/>
      <c r="U2" s="559"/>
      <c r="V2" s="559"/>
      <c r="W2" s="559"/>
      <c r="X2" s="559"/>
      <c r="Y2" s="559"/>
      <c r="Z2" s="559"/>
      <c r="AA2" s="559"/>
      <c r="AB2" s="592"/>
      <c r="AD2" s="593" t="s">
        <v>592</v>
      </c>
      <c r="AE2" s="560"/>
      <c r="AF2" s="560"/>
      <c r="AG2" s="560"/>
      <c r="AH2" s="560"/>
      <c r="AI2" s="560"/>
      <c r="AJ2" s="560"/>
      <c r="AK2" s="560"/>
      <c r="AL2" s="560"/>
      <c r="AM2" s="560"/>
      <c r="AN2" s="560"/>
      <c r="AO2" s="560"/>
      <c r="AP2" s="594"/>
      <c r="AR2" s="595" t="s">
        <v>593</v>
      </c>
      <c r="AS2" s="562"/>
      <c r="AT2" s="562"/>
      <c r="AU2" s="562"/>
      <c r="AV2" s="562"/>
      <c r="AW2" s="562"/>
      <c r="AX2" s="562"/>
      <c r="AY2" s="562"/>
      <c r="AZ2" s="562"/>
      <c r="BA2" s="562"/>
      <c r="BB2" s="562"/>
      <c r="BC2" s="562"/>
      <c r="BD2" s="596"/>
      <c r="BF2" s="597" t="s">
        <v>594</v>
      </c>
      <c r="BG2" s="561"/>
      <c r="BH2" s="561"/>
      <c r="BI2" s="561"/>
      <c r="BJ2" s="561"/>
      <c r="BK2" s="561"/>
      <c r="BL2" s="561"/>
      <c r="BM2" s="561"/>
      <c r="BN2" s="561"/>
      <c r="BO2" s="561"/>
      <c r="BP2" s="561"/>
      <c r="BQ2" s="561"/>
      <c r="BR2" s="598"/>
      <c r="BT2" s="599" t="s">
        <v>595</v>
      </c>
      <c r="BU2" s="567"/>
      <c r="BV2" s="567"/>
      <c r="BW2" s="567"/>
      <c r="BX2" s="567"/>
      <c r="BY2" s="567"/>
      <c r="BZ2" s="567"/>
      <c r="CA2" s="567"/>
      <c r="CB2" s="567"/>
      <c r="CC2" s="567"/>
      <c r="CD2" s="567"/>
      <c r="CE2" s="567"/>
      <c r="CF2" s="600"/>
      <c r="CH2" s="582" t="s">
        <v>596</v>
      </c>
      <c r="CI2" s="570"/>
      <c r="CJ2" s="570"/>
      <c r="CK2" s="570"/>
      <c r="CL2" s="570"/>
      <c r="CM2" s="570"/>
      <c r="CN2" s="570"/>
      <c r="CO2" s="570"/>
      <c r="CP2" s="570"/>
      <c r="CQ2" s="570"/>
      <c r="CR2" s="570"/>
      <c r="CS2" s="570"/>
      <c r="CT2" s="583"/>
      <c r="CV2" s="584" t="s">
        <v>597</v>
      </c>
      <c r="CW2" s="573"/>
      <c r="CX2" s="573"/>
      <c r="CY2" s="573"/>
      <c r="CZ2" s="573"/>
      <c r="DA2" s="573"/>
      <c r="DB2" s="573"/>
      <c r="DC2" s="573"/>
      <c r="DD2" s="573"/>
      <c r="DE2" s="573"/>
      <c r="DF2" s="573"/>
      <c r="DG2" s="573"/>
      <c r="DH2" s="585"/>
      <c r="DJ2" s="586" t="s">
        <v>598</v>
      </c>
      <c r="DK2" s="576"/>
      <c r="DL2" s="576"/>
      <c r="DM2" s="576"/>
      <c r="DN2" s="576"/>
      <c r="DO2" s="576"/>
      <c r="DP2" s="576"/>
      <c r="DQ2" s="576"/>
      <c r="DR2" s="576"/>
      <c r="DS2" s="576"/>
      <c r="DT2" s="576"/>
      <c r="DU2" s="576"/>
      <c r="DV2" s="587"/>
      <c r="DX2" s="588" t="s">
        <v>599</v>
      </c>
      <c r="DY2" s="579"/>
      <c r="DZ2" s="579"/>
      <c r="EA2" s="579"/>
      <c r="EB2" s="579"/>
      <c r="EC2" s="579"/>
      <c r="ED2" s="579"/>
      <c r="EE2" s="579"/>
      <c r="EF2" s="579"/>
      <c r="EG2" s="579"/>
      <c r="EH2" s="579"/>
      <c r="EI2" s="579"/>
      <c r="EJ2" s="581"/>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2024-12-18T19:06:19Z</dcterms:modified>
</cp:coreProperties>
</file>