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J33" i="44"/>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44"/>
  <c r="J44" i="53" s="1"/>
  <c r="I44" i="44"/>
  <c r="I44" i="53" s="1"/>
  <c r="H44" i="44"/>
  <c r="H44" i="53" s="1"/>
  <c r="G44" i="53"/>
  <c r="F44" i="53"/>
  <c r="P43" i="44"/>
  <c r="P43" i="53" s="1"/>
  <c r="O43" i="44"/>
  <c r="O43" i="53" s="1"/>
  <c r="N43" i="44"/>
  <c r="N43" i="53" s="1"/>
  <c r="M43" i="44"/>
  <c r="M43" i="53" s="1"/>
  <c r="L43" i="44"/>
  <c r="L43" i="53" s="1"/>
  <c r="K43" i="44"/>
  <c r="K43" i="53" s="1"/>
  <c r="J43" i="44"/>
  <c r="J43" i="53" s="1"/>
  <c r="I43" i="44"/>
  <c r="I43" i="53" s="1"/>
  <c r="H43" i="44"/>
  <c r="H43" i="53" s="1"/>
  <c r="G43" i="53"/>
  <c r="F43" i="53"/>
  <c r="P42" i="44"/>
  <c r="P42" i="53" s="1"/>
  <c r="O42" i="44"/>
  <c r="O42" i="53" s="1"/>
  <c r="N42" i="44"/>
  <c r="N42" i="53" s="1"/>
  <c r="M42" i="44"/>
  <c r="M42" i="53" s="1"/>
  <c r="L42" i="44"/>
  <c r="L42" i="53" s="1"/>
  <c r="K42" i="44"/>
  <c r="K42" i="53" s="1"/>
  <c r="J42" i="44"/>
  <c r="J42" i="53" s="1"/>
  <c r="I42" i="44"/>
  <c r="I42" i="53" s="1"/>
  <c r="H42" i="44"/>
  <c r="H42" i="53" s="1"/>
  <c r="G42" i="53"/>
  <c r="F42" i="53"/>
  <c r="P41" i="44"/>
  <c r="P41" i="53" s="1"/>
  <c r="O41" i="44"/>
  <c r="O41" i="53" s="1"/>
  <c r="N41" i="44"/>
  <c r="N41" i="53" s="1"/>
  <c r="M41" i="44"/>
  <c r="M41" i="53" s="1"/>
  <c r="L41" i="44"/>
  <c r="L41" i="53" s="1"/>
  <c r="K41" i="44"/>
  <c r="K41" i="53" s="1"/>
  <c r="J41" i="44"/>
  <c r="J41" i="53" s="1"/>
  <c r="I41" i="44"/>
  <c r="I41" i="53" s="1"/>
  <c r="H41" i="44"/>
  <c r="H41" i="53" s="1"/>
  <c r="G41" i="53"/>
  <c r="F41" i="53"/>
  <c r="P40" i="44"/>
  <c r="P40" i="53" s="1"/>
  <c r="O40" i="44"/>
  <c r="O40" i="53" s="1"/>
  <c r="N40" i="44"/>
  <c r="N40" i="53" s="1"/>
  <c r="M40" i="44"/>
  <c r="M40" i="53" s="1"/>
  <c r="L40" i="44"/>
  <c r="L40" i="53" s="1"/>
  <c r="K40" i="44"/>
  <c r="K40" i="53" s="1"/>
  <c r="J40" i="44"/>
  <c r="J40" i="53" s="1"/>
  <c r="I40" i="44"/>
  <c r="I40" i="53" s="1"/>
  <c r="H40" i="44"/>
  <c r="H40" i="53" s="1"/>
  <c r="G40" i="53"/>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44"/>
  <c r="H45" i="53" s="1"/>
  <c r="I45" i="44"/>
  <c r="I45" i="53" s="1"/>
  <c r="J45" i="44"/>
  <c r="J45" i="53" s="1"/>
  <c r="K45" i="44"/>
  <c r="K45" i="53" s="1"/>
  <c r="L45" i="44"/>
  <c r="L45" i="53" s="1"/>
  <c r="F46" i="53"/>
  <c r="G46" i="53"/>
  <c r="H46" i="44"/>
  <c r="H46" i="53" s="1"/>
  <c r="I46" i="44"/>
  <c r="I46" i="53" s="1"/>
  <c r="J46" i="44"/>
  <c r="J46" i="53" s="1"/>
  <c r="K46" i="44"/>
  <c r="K46" i="53" s="1"/>
  <c r="L46" i="44"/>
  <c r="L46" i="53" s="1"/>
  <c r="F47" i="53"/>
  <c r="G47" i="53"/>
  <c r="H47" i="44"/>
  <c r="H47" i="53" s="1"/>
  <c r="I47" i="44"/>
  <c r="I47" i="53" s="1"/>
  <c r="J47" i="44"/>
  <c r="J47" i="53" s="1"/>
  <c r="K47" i="44"/>
  <c r="K47" i="53" s="1"/>
  <c r="L47" i="44"/>
  <c r="L47" i="53" s="1"/>
  <c r="F48" i="53"/>
  <c r="G48" i="53"/>
  <c r="H48" i="44"/>
  <c r="H48" i="53" s="1"/>
  <c r="I48" i="44"/>
  <c r="I48" i="53" s="1"/>
  <c r="J48" i="44"/>
  <c r="J48" i="53" s="1"/>
  <c r="K48" i="44"/>
  <c r="K48" i="53" s="1"/>
  <c r="L48" i="44"/>
  <c r="L48" i="53" s="1"/>
  <c r="F49" i="53"/>
  <c r="G49" i="53"/>
  <c r="H49" i="44"/>
  <c r="H49" i="53" s="1"/>
  <c r="I49" i="44"/>
  <c r="I49" i="53" s="1"/>
  <c r="J49" i="44"/>
  <c r="J49" i="53" s="1"/>
  <c r="K49" i="44"/>
  <c r="K49" i="53" s="1"/>
  <c r="L49" i="44"/>
  <c r="L49" i="53" s="1"/>
  <c r="F50" i="53"/>
  <c r="G50" i="53"/>
  <c r="H50" i="44"/>
  <c r="H50" i="53" s="1"/>
  <c r="I50" i="44"/>
  <c r="I50" i="53" s="1"/>
  <c r="J50" i="44"/>
  <c r="J50" i="53" s="1"/>
  <c r="K50" i="44"/>
  <c r="K50" i="53" s="1"/>
  <c r="L50" i="44"/>
  <c r="L50" i="53" s="1"/>
  <c r="F51" i="53"/>
  <c r="G51" i="53"/>
  <c r="H51" i="44"/>
  <c r="H51" i="53" s="1"/>
  <c r="I51" i="44"/>
  <c r="I51" i="53" s="1"/>
  <c r="J51" i="44"/>
  <c r="J51" i="53" s="1"/>
  <c r="K51" i="44"/>
  <c r="K51" i="53" s="1"/>
  <c r="L51" i="44"/>
  <c r="L51" i="53" s="1"/>
  <c r="F52" i="53"/>
  <c r="G52" i="53"/>
  <c r="H52" i="44"/>
  <c r="H52" i="53" s="1"/>
  <c r="I52" i="44"/>
  <c r="I52" i="53" s="1"/>
  <c r="J52" i="44"/>
  <c r="J52" i="53" s="1"/>
  <c r="K52" i="44"/>
  <c r="K52" i="53" s="1"/>
  <c r="L52" i="44"/>
  <c r="L52" i="53" s="1"/>
  <c r="F53" i="53"/>
  <c r="G53" i="53"/>
  <c r="H53" i="44"/>
  <c r="H53" i="53" s="1"/>
  <c r="I53" i="44"/>
  <c r="I53" i="53" s="1"/>
  <c r="J53" i="44"/>
  <c r="J53" i="53" s="1"/>
  <c r="K53" i="44"/>
  <c r="K53" i="53" s="1"/>
  <c r="L53" i="44"/>
  <c r="L53" i="53" s="1"/>
  <c r="F54" i="53"/>
  <c r="G54" i="53"/>
  <c r="H54" i="44"/>
  <c r="H54" i="53" s="1"/>
  <c r="I54" i="44"/>
  <c r="I54" i="53" s="1"/>
  <c r="J54" i="44"/>
  <c r="J54" i="53" s="1"/>
  <c r="K54" i="44"/>
  <c r="K54" i="53" s="1"/>
  <c r="L54" i="44"/>
  <c r="L54" i="53" s="1"/>
  <c r="F55" i="53"/>
  <c r="G55" i="53"/>
  <c r="H55" i="44"/>
  <c r="H55" i="53" s="1"/>
  <c r="I55" i="44"/>
  <c r="I55" i="53" s="1"/>
  <c r="J55" i="44"/>
  <c r="J55" i="53" s="1"/>
  <c r="K55" i="44"/>
  <c r="K55" i="53" s="1"/>
  <c r="L55" i="44"/>
  <c r="L55" i="53" s="1"/>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44"/>
  <c r="J58" i="53" s="1"/>
  <c r="K58" i="44"/>
  <c r="K58" i="53" s="1"/>
  <c r="L58" i="44"/>
  <c r="L58" i="53" s="1"/>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44"/>
  <c r="J71" i="53" s="1"/>
  <c r="I71" i="44"/>
  <c r="I71" i="53" s="1"/>
  <c r="H71" i="44"/>
  <c r="H71" i="53" s="1"/>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44"/>
  <c r="J68" i="53" s="1"/>
  <c r="I68" i="44"/>
  <c r="I68" i="53" s="1"/>
  <c r="H68" i="44"/>
  <c r="H68" i="53" s="1"/>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44"/>
  <c r="J65" i="53" s="1"/>
  <c r="I65" i="44"/>
  <c r="I65" i="53" s="1"/>
  <c r="H65" i="44"/>
  <c r="H65" i="53" s="1"/>
  <c r="G65" i="53"/>
  <c r="P64" i="44"/>
  <c r="P64" i="53" s="1"/>
  <c r="O64" i="44"/>
  <c r="O64" i="53" s="1"/>
  <c r="N64" i="44"/>
  <c r="N64" i="53" s="1"/>
  <c r="M64" i="44"/>
  <c r="M64" i="53" s="1"/>
  <c r="P63" i="44"/>
  <c r="P63" i="53" s="1"/>
  <c r="O63" i="44"/>
  <c r="O63" i="53" s="1"/>
  <c r="N63" i="44"/>
  <c r="N63" i="53" s="1"/>
  <c r="M63" i="44"/>
  <c r="M63" i="53" s="1"/>
  <c r="L67" i="44"/>
  <c r="L67" i="53" s="1"/>
  <c r="K67" i="44"/>
  <c r="K67" i="53" s="1"/>
  <c r="J67" i="44"/>
  <c r="J67" i="53" s="1"/>
  <c r="I67" i="44"/>
  <c r="I67" i="53" s="1"/>
  <c r="H67" i="44"/>
  <c r="H67" i="53" s="1"/>
  <c r="G67" i="53"/>
  <c r="L66" i="44"/>
  <c r="L66" i="53" s="1"/>
  <c r="K66" i="44"/>
  <c r="K66" i="53" s="1"/>
  <c r="J66" i="44"/>
  <c r="J66" i="53" s="1"/>
  <c r="I66" i="44"/>
  <c r="I66" i="53" s="1"/>
  <c r="H66" i="44"/>
  <c r="H66" i="53" s="1"/>
  <c r="G66" i="53"/>
  <c r="L64" i="44"/>
  <c r="L64" i="53" s="1"/>
  <c r="K64" i="44"/>
  <c r="K64" i="53" s="1"/>
  <c r="J64" i="44"/>
  <c r="J64" i="53" s="1"/>
  <c r="I64" i="44"/>
  <c r="I64" i="53" s="1"/>
  <c r="H64" i="44"/>
  <c r="H64" i="53" s="1"/>
  <c r="L63" i="44"/>
  <c r="L63" i="53" s="1"/>
  <c r="K63" i="44"/>
  <c r="K63" i="53" s="1"/>
  <c r="J63" i="44"/>
  <c r="J63" i="53" s="1"/>
  <c r="I63" i="44"/>
  <c r="I63" i="53" s="1"/>
  <c r="H63" i="44"/>
  <c r="H63" i="53" s="1"/>
  <c r="G63" i="53"/>
  <c r="K70" i="44"/>
  <c r="K70" i="53" s="1"/>
  <c r="J70" i="44"/>
  <c r="J70" i="53" s="1"/>
  <c r="I70" i="44"/>
  <c r="I70" i="53" s="1"/>
  <c r="H70" i="44"/>
  <c r="H70" i="53" s="1"/>
  <c r="G70" i="53"/>
  <c r="K69" i="44"/>
  <c r="K69" i="53" s="1"/>
  <c r="J69" i="44"/>
  <c r="J69" i="53" s="1"/>
  <c r="I69" i="44"/>
  <c r="I69" i="53" s="1"/>
  <c r="H69" i="44"/>
  <c r="H69" i="53" s="1"/>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44"/>
  <c r="L84" i="53" s="1"/>
  <c r="K84" i="44"/>
  <c r="K84" i="53" s="1"/>
  <c r="J84" i="44"/>
  <c r="J84" i="53" s="1"/>
  <c r="I84" i="44"/>
  <c r="I84" i="53" s="1"/>
  <c r="H84" i="44"/>
  <c r="H84" i="53" s="1"/>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44"/>
  <c r="J80" i="53" s="1"/>
  <c r="I80" i="44"/>
  <c r="I80" i="53" s="1"/>
  <c r="H80" i="44"/>
  <c r="H80" i="53" s="1"/>
  <c r="G80" i="53"/>
  <c r="F80" i="53"/>
  <c r="E80" i="53"/>
  <c r="E81" i="53"/>
  <c r="F81" i="53"/>
  <c r="G81" i="53"/>
  <c r="H81" i="44"/>
  <c r="H81" i="53" s="1"/>
  <c r="I81" i="44"/>
  <c r="I81" i="53" s="1"/>
  <c r="J81" i="44"/>
  <c r="J81" i="53" s="1"/>
  <c r="K81" i="44"/>
  <c r="K81" i="53" s="1"/>
  <c r="L81" i="44"/>
  <c r="L81" i="53" s="1"/>
  <c r="E82" i="53"/>
  <c r="F82" i="53"/>
  <c r="G82" i="53"/>
  <c r="H82" i="44"/>
  <c r="H82" i="53" s="1"/>
  <c r="I82" i="44"/>
  <c r="I82" i="53" s="1"/>
  <c r="J82" i="44"/>
  <c r="J82" i="53" s="1"/>
  <c r="K82" i="44"/>
  <c r="K82" i="53" s="1"/>
  <c r="L82" i="44"/>
  <c r="L82" i="53" s="1"/>
  <c r="E83" i="53"/>
  <c r="F83" i="53"/>
  <c r="G83" i="53"/>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44"/>
  <c r="J79" i="53" s="1"/>
  <c r="I79" i="44"/>
  <c r="I79" i="53" s="1"/>
  <c r="H79" i="44"/>
  <c r="H79" i="53" s="1"/>
  <c r="G79" i="53"/>
  <c r="F79" i="53"/>
  <c r="E79" i="53"/>
  <c r="L78" i="44"/>
  <c r="L78" i="53" s="1"/>
  <c r="K78" i="44"/>
  <c r="K78" i="53" s="1"/>
  <c r="J78" i="44"/>
  <c r="J78" i="53" s="1"/>
  <c r="I78" i="44"/>
  <c r="I78" i="53" s="1"/>
  <c r="H78" i="44"/>
  <c r="H78" i="53" s="1"/>
  <c r="G78" i="53"/>
  <c r="F78" i="53"/>
  <c r="E78" i="53"/>
  <c r="L77" i="44"/>
  <c r="L77" i="53" s="1"/>
  <c r="K77" i="44"/>
  <c r="K77" i="53" s="1"/>
  <c r="J77" i="44"/>
  <c r="J77" i="53" s="1"/>
  <c r="I77" i="44"/>
  <c r="I77" i="53" s="1"/>
  <c r="H77" i="44"/>
  <c r="H77" i="53" s="1"/>
  <c r="G77" i="53"/>
  <c r="F77" i="53"/>
  <c r="E77" i="53"/>
  <c r="F85" i="53"/>
  <c r="G85" i="53"/>
  <c r="H85" i="44"/>
  <c r="H85" i="53" s="1"/>
  <c r="I85" i="44"/>
  <c r="I85" i="53" s="1"/>
  <c r="J85" i="44"/>
  <c r="J85" i="53" s="1"/>
  <c r="K85" i="44"/>
  <c r="K85" i="53" s="1"/>
  <c r="L85" i="44"/>
  <c r="L85" i="53" s="1"/>
  <c r="E86" i="53"/>
  <c r="F86" i="53"/>
  <c r="G86" i="53"/>
  <c r="H86" i="44"/>
  <c r="H86" i="53" s="1"/>
  <c r="I86" i="44"/>
  <c r="I86" i="53" s="1"/>
  <c r="J86" i="44"/>
  <c r="J86" i="53" s="1"/>
  <c r="K86" i="44"/>
  <c r="K86" i="53" s="1"/>
  <c r="L86" i="44"/>
  <c r="L86" i="53" s="1"/>
  <c r="E87" i="53"/>
  <c r="F87" i="53"/>
  <c r="G87" i="53"/>
  <c r="H87" i="44"/>
  <c r="H87" i="53" s="1"/>
  <c r="I87" i="44"/>
  <c r="I87" i="53" s="1"/>
  <c r="J87" i="44"/>
  <c r="J87" i="53" s="1"/>
  <c r="K87" i="44"/>
  <c r="K87" i="53" s="1"/>
  <c r="L87" i="44"/>
  <c r="L87" i="53" s="1"/>
  <c r="E88" i="44"/>
  <c r="E88" i="53" s="1"/>
  <c r="F88" i="53"/>
  <c r="G88" i="53"/>
  <c r="H88" i="44"/>
  <c r="H88" i="53" s="1"/>
  <c r="I88" i="44"/>
  <c r="I88" i="53" s="1"/>
  <c r="J88" i="44"/>
  <c r="J88" i="53" s="1"/>
  <c r="K88" i="44"/>
  <c r="K88" i="53" s="1"/>
  <c r="L88" i="44"/>
  <c r="L88" i="53" s="1"/>
  <c r="E89" i="53"/>
  <c r="F89" i="53"/>
  <c r="G89" i="53"/>
  <c r="H89" i="44"/>
  <c r="H89" i="53" s="1"/>
  <c r="I89" i="44"/>
  <c r="I89" i="53" s="1"/>
  <c r="J89" i="44"/>
  <c r="J89" i="53" s="1"/>
  <c r="K89" i="44"/>
  <c r="K89" i="53" s="1"/>
  <c r="L89" i="44"/>
  <c r="L89" i="53" s="1"/>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44"/>
  <c r="J92" i="53" s="1"/>
  <c r="K92" i="44"/>
  <c r="K92" i="53" s="1"/>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44"/>
  <c r="J102" i="53" s="1"/>
  <c r="I102" i="44"/>
  <c r="I102" i="53" s="1"/>
  <c r="H102" i="44"/>
  <c r="H102" i="53" s="1"/>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44"/>
  <c r="H103" i="53" s="1"/>
  <c r="I103" i="44"/>
  <c r="I103" i="53" s="1"/>
  <c r="J103" i="44"/>
  <c r="J103" i="53" s="1"/>
  <c r="K103" i="44"/>
  <c r="K103" i="53" s="1"/>
  <c r="L103" i="44"/>
  <c r="L103" i="53" s="1"/>
  <c r="E104" i="53"/>
  <c r="F104" i="53"/>
  <c r="G104" i="53"/>
  <c r="H104" i="44"/>
  <c r="H104" i="53" s="1"/>
  <c r="I104" i="44"/>
  <c r="I104" i="53" s="1"/>
  <c r="J104" i="44"/>
  <c r="J104" i="53" s="1"/>
  <c r="K104" i="44"/>
  <c r="K104" i="53" s="1"/>
  <c r="L104" i="44"/>
  <c r="L104" i="53" s="1"/>
  <c r="P105" i="44"/>
  <c r="P105" i="53" s="1"/>
  <c r="O105" i="44"/>
  <c r="O105" i="53" s="1"/>
  <c r="N105" i="44"/>
  <c r="N105" i="53" s="1"/>
  <c r="M105" i="44"/>
  <c r="M105" i="53" s="1"/>
  <c r="L105" i="44"/>
  <c r="L105" i="53" s="1"/>
  <c r="K105" i="44"/>
  <c r="K105" i="53" s="1"/>
  <c r="J105" i="44"/>
  <c r="J105" i="53" s="1"/>
  <c r="I105" i="44"/>
  <c r="I105" i="53" s="1"/>
  <c r="H105" i="44"/>
  <c r="H105" i="53" s="1"/>
  <c r="G105" i="53"/>
  <c r="F105" i="53"/>
  <c r="E105" i="53"/>
  <c r="P106" i="44"/>
  <c r="P106" i="53" s="1"/>
  <c r="O106" i="44"/>
  <c r="O106" i="53" s="1"/>
  <c r="N106" i="44"/>
  <c r="N106" i="53" s="1"/>
  <c r="M106" i="44"/>
  <c r="M106" i="53" s="1"/>
  <c r="L106" i="44"/>
  <c r="L106" i="53" s="1"/>
  <c r="K106" i="44"/>
  <c r="K106" i="53" s="1"/>
  <c r="J106" i="44"/>
  <c r="J106" i="53" s="1"/>
  <c r="I106" i="44"/>
  <c r="I106" i="53" s="1"/>
  <c r="H106" i="44"/>
  <c r="H106" i="53" s="1"/>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44"/>
  <c r="I101" i="53" s="1"/>
  <c r="H101" i="44"/>
  <c r="H101" i="53" s="1"/>
  <c r="G101" i="53"/>
  <c r="F101" i="53"/>
  <c r="E101" i="53"/>
  <c r="L100" i="44"/>
  <c r="L100" i="53" s="1"/>
  <c r="K100" i="44"/>
  <c r="K100" i="53" s="1"/>
  <c r="J100" i="44"/>
  <c r="J100" i="53" s="1"/>
  <c r="I100" i="44"/>
  <c r="I100" i="53" s="1"/>
  <c r="H100" i="44"/>
  <c r="H100" i="53" s="1"/>
  <c r="G100" i="53"/>
  <c r="F100" i="53"/>
  <c r="E100" i="53"/>
  <c r="L99" i="44"/>
  <c r="L99" i="53" s="1"/>
  <c r="K99" i="44"/>
  <c r="K99" i="53" s="1"/>
  <c r="J99" i="44"/>
  <c r="J99" i="53" s="1"/>
  <c r="I99" i="44"/>
  <c r="I99" i="53" s="1"/>
  <c r="H99" i="44"/>
  <c r="H99" i="53" s="1"/>
  <c r="G99" i="53"/>
  <c r="F99" i="53"/>
  <c r="E99" i="53"/>
  <c r="L98" i="44"/>
  <c r="L98" i="53" s="1"/>
  <c r="K98" i="44"/>
  <c r="K98" i="53" s="1"/>
  <c r="J98" i="44"/>
  <c r="J98" i="53" s="1"/>
  <c r="I98" i="44"/>
  <c r="I98" i="53" s="1"/>
  <c r="H98" i="44"/>
  <c r="H98" i="53" s="1"/>
  <c r="G98" i="53"/>
  <c r="F98" i="53"/>
  <c r="E98" i="53"/>
  <c r="L97" i="44"/>
  <c r="L97" i="53" s="1"/>
  <c r="K97" i="44"/>
  <c r="K97" i="53" s="1"/>
  <c r="J97" i="44"/>
  <c r="J97" i="53" s="1"/>
  <c r="I97" i="44"/>
  <c r="I97" i="53" s="1"/>
  <c r="H97" i="44"/>
  <c r="H97" i="53" s="1"/>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44"/>
  <c r="L115" i="53" s="1"/>
  <c r="K115" i="44"/>
  <c r="K115" i="53" s="1"/>
  <c r="J115" i="44"/>
  <c r="J115" i="53" s="1"/>
  <c r="I115" i="44"/>
  <c r="I115" i="53" s="1"/>
  <c r="H115" i="44"/>
  <c r="H115" i="53" s="1"/>
  <c r="G115" i="53"/>
  <c r="F115" i="53"/>
  <c r="E115" i="53"/>
  <c r="L114" i="44"/>
  <c r="L114" i="53" s="1"/>
  <c r="K114" i="44"/>
  <c r="K114" i="53" s="1"/>
  <c r="J114" i="44"/>
  <c r="J114" i="53" s="1"/>
  <c r="I114" i="44"/>
  <c r="I114" i="53" s="1"/>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44"/>
  <c r="L111" i="53" s="1"/>
  <c r="K111" i="44"/>
  <c r="K111" i="53" s="1"/>
  <c r="J111" i="44"/>
  <c r="J111" i="53" s="1"/>
  <c r="I111" i="44"/>
  <c r="I111" i="53" s="1"/>
  <c r="H111" i="44"/>
  <c r="H111" i="53" s="1"/>
  <c r="G111" i="53"/>
  <c r="F111" i="53"/>
  <c r="E111" i="53"/>
  <c r="P123" i="44"/>
  <c r="P123" i="53" s="1"/>
  <c r="O123" i="44"/>
  <c r="O123" i="53" s="1"/>
  <c r="N123" i="44"/>
  <c r="N123" i="53" s="1"/>
  <c r="M123" i="44"/>
  <c r="M123" i="53" s="1"/>
  <c r="L123" i="44"/>
  <c r="L123" i="53" s="1"/>
  <c r="K123" i="44"/>
  <c r="K123" i="53" s="1"/>
  <c r="J123" i="44"/>
  <c r="J123" i="53" s="1"/>
  <c r="I123" i="44"/>
  <c r="I123" i="53" s="1"/>
  <c r="H123" i="44"/>
  <c r="H123" i="53" s="1"/>
  <c r="G123" i="53"/>
  <c r="F123" i="53"/>
  <c r="E123" i="53"/>
  <c r="P39" i="44"/>
  <c r="P39" i="53" s="1"/>
  <c r="O39" i="44"/>
  <c r="O39" i="53" s="1"/>
  <c r="N39" i="44"/>
  <c r="N39" i="53" s="1"/>
  <c r="M39" i="44"/>
  <c r="M39" i="53" s="1"/>
  <c r="L39" i="44"/>
  <c r="L39" i="53" s="1"/>
  <c r="K39" i="44"/>
  <c r="K39" i="53" s="1"/>
  <c r="J39" i="44"/>
  <c r="J39" i="53" s="1"/>
  <c r="I39" i="44"/>
  <c r="I39" i="53" s="1"/>
  <c r="H39" i="44"/>
  <c r="H39" i="53" s="1"/>
  <c r="G39" i="53"/>
  <c r="F39" i="53"/>
  <c r="P35" i="44"/>
  <c r="P35" i="53" s="1"/>
  <c r="O35" i="44"/>
  <c r="O35" i="53" s="1"/>
  <c r="N35" i="44"/>
  <c r="N35" i="53" s="1"/>
  <c r="M35" i="44"/>
  <c r="M35" i="53" s="1"/>
  <c r="L35" i="44"/>
  <c r="L35" i="53" s="1"/>
  <c r="K35" i="44"/>
  <c r="K35" i="53" s="1"/>
  <c r="J35" i="44"/>
  <c r="J35" i="53" s="1"/>
  <c r="I35" i="44"/>
  <c r="I35" i="53" s="1"/>
  <c r="H35" i="44"/>
  <c r="H35" i="53" s="1"/>
  <c r="G35" i="53"/>
  <c r="F35" i="53"/>
  <c r="E35" i="44"/>
  <c r="E35" i="53" s="1"/>
  <c r="P34" i="44"/>
  <c r="P34" i="53" s="1"/>
  <c r="O34" i="44"/>
  <c r="O34" i="53" s="1"/>
  <c r="N34" i="44"/>
  <c r="N34" i="53" s="1"/>
  <c r="M34" i="44"/>
  <c r="M34" i="53" s="1"/>
  <c r="L34" i="44"/>
  <c r="L34" i="53" s="1"/>
  <c r="K34" i="44"/>
  <c r="K34" i="53" s="1"/>
  <c r="J34" i="44"/>
  <c r="J34" i="53" s="1"/>
  <c r="I34" i="44"/>
  <c r="I34" i="53" s="1"/>
  <c r="H34" i="44"/>
  <c r="H34" i="53" s="1"/>
  <c r="G34" i="53"/>
  <c r="F34" i="53"/>
  <c r="E34" i="53"/>
  <c r="P33" i="44"/>
  <c r="P33" i="53" s="1"/>
  <c r="O33" i="44"/>
  <c r="O33" i="53" s="1"/>
  <c r="N33" i="44"/>
  <c r="N33" i="53" s="1"/>
  <c r="M33" i="44"/>
  <c r="M33" i="53" s="1"/>
  <c r="L33" i="44"/>
  <c r="L33" i="53" s="1"/>
  <c r="K33" i="44"/>
  <c r="K33" i="53" s="1"/>
  <c r="J33" i="53"/>
  <c r="I33" i="44"/>
  <c r="I33" i="53" s="1"/>
  <c r="H33" i="44"/>
  <c r="H33" i="53" s="1"/>
  <c r="G33" i="53"/>
  <c r="F33" i="53"/>
  <c r="E33" i="53"/>
  <c r="P29" i="44"/>
  <c r="P29" i="53" s="1"/>
  <c r="O29" i="44"/>
  <c r="O29" i="53" s="1"/>
  <c r="N29" i="44"/>
  <c r="N29" i="53" s="1"/>
  <c r="M29" i="44"/>
  <c r="M29" i="53" s="1"/>
  <c r="L29" i="44"/>
  <c r="L29" i="53" s="1"/>
  <c r="K29" i="44"/>
  <c r="K29" i="53" s="1"/>
  <c r="J29" i="44"/>
  <c r="J29" i="53" s="1"/>
  <c r="I29" i="44"/>
  <c r="I29" i="53" s="1"/>
  <c r="H29" i="44"/>
  <c r="H29" i="53" s="1"/>
  <c r="G29" i="53"/>
  <c r="F29" i="53"/>
  <c r="E29" i="44"/>
  <c r="E29" i="53" s="1"/>
  <c r="P28" i="44"/>
  <c r="P28" i="53" s="1"/>
  <c r="O28" i="44"/>
  <c r="O28" i="53" s="1"/>
  <c r="N28" i="44"/>
  <c r="N28" i="53" s="1"/>
  <c r="M28" i="44"/>
  <c r="M28" i="53" s="1"/>
  <c r="L28" i="44"/>
  <c r="L28" i="53" s="1"/>
  <c r="K28" i="44"/>
  <c r="K28" i="53" s="1"/>
  <c r="J28" i="44"/>
  <c r="J28" i="53" s="1"/>
  <c r="I28" i="44"/>
  <c r="I28" i="53" s="1"/>
  <c r="H28" i="44"/>
  <c r="H28" i="53" s="1"/>
  <c r="G28" i="53"/>
  <c r="F28" i="53"/>
  <c r="E28" i="53"/>
  <c r="P27" i="44"/>
  <c r="P27" i="53" s="1"/>
  <c r="O27" i="44"/>
  <c r="O27" i="53" s="1"/>
  <c r="N27" i="44"/>
  <c r="N27" i="53" s="1"/>
  <c r="M27" i="44"/>
  <c r="M27" i="53" s="1"/>
  <c r="L27" i="44"/>
  <c r="L27" i="53" s="1"/>
  <c r="K27" i="44"/>
  <c r="K27" i="53" s="1"/>
  <c r="J27" i="44"/>
  <c r="J27" i="53" s="1"/>
  <c r="I27" i="44"/>
  <c r="I27" i="53" s="1"/>
  <c r="H27" i="44"/>
  <c r="H27" i="53" s="1"/>
  <c r="G27" i="53"/>
  <c r="F27" i="53"/>
  <c r="E27" i="53"/>
  <c r="P26" i="44"/>
  <c r="P26" i="53" s="1"/>
  <c r="O26" i="44"/>
  <c r="O26" i="53" s="1"/>
  <c r="N26" i="44"/>
  <c r="N26" i="53" s="1"/>
  <c r="M26" i="44"/>
  <c r="M26" i="53" s="1"/>
  <c r="L26" i="44"/>
  <c r="L26" i="53" s="1"/>
  <c r="K26" i="44"/>
  <c r="K26" i="53" s="1"/>
  <c r="J26" i="44"/>
  <c r="J26" i="53" s="1"/>
  <c r="I26" i="44"/>
  <c r="I26" i="53" s="1"/>
  <c r="H26" i="44"/>
  <c r="H26" i="53" s="1"/>
  <c r="G26" i="53"/>
  <c r="F26" i="53"/>
  <c r="E26" i="53"/>
  <c r="P22" i="44"/>
  <c r="P22" i="53" s="1"/>
  <c r="O22" i="44"/>
  <c r="O22" i="53" s="1"/>
  <c r="N22" i="44"/>
  <c r="N22" i="53" s="1"/>
  <c r="M22" i="44"/>
  <c r="M22" i="53" s="1"/>
  <c r="L22" i="44"/>
  <c r="L22" i="53" s="1"/>
  <c r="K22" i="44"/>
  <c r="K22" i="53" s="1"/>
  <c r="J22" i="44"/>
  <c r="J22" i="53" s="1"/>
  <c r="I22" i="44"/>
  <c r="I22" i="53" s="1"/>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44"/>
  <c r="M20" i="53" s="1"/>
  <c r="L20" i="44"/>
  <c r="L20" i="53" s="1"/>
  <c r="K20" i="44"/>
  <c r="K20" i="53" s="1"/>
  <c r="J20" i="44"/>
  <c r="J20" i="53" s="1"/>
  <c r="I20" i="44"/>
  <c r="I20" i="53" s="1"/>
  <c r="H20" i="44"/>
  <c r="H20" i="53" s="1"/>
  <c r="G20" i="53"/>
  <c r="F20" i="53"/>
  <c r="E20" i="53"/>
  <c r="P19" i="44"/>
  <c r="P19" i="53" s="1"/>
  <c r="O19" i="44"/>
  <c r="O19" i="53" s="1"/>
  <c r="N19" i="44"/>
  <c r="N19" i="53" s="1"/>
  <c r="M19" i="44"/>
  <c r="M19" i="53" s="1"/>
  <c r="L19" i="44"/>
  <c r="L19" i="53" s="1"/>
  <c r="K19" i="44"/>
  <c r="K19" i="53" s="1"/>
  <c r="J19" i="44"/>
  <c r="J19" i="53" s="1"/>
  <c r="I19" i="44"/>
  <c r="I19" i="53" s="1"/>
  <c r="H19" i="44"/>
  <c r="H19" i="53" s="1"/>
  <c r="G19" i="53"/>
  <c r="F19" i="53"/>
  <c r="E19" i="53"/>
  <c r="P18" i="44"/>
  <c r="P18" i="53" s="1"/>
  <c r="O18" i="44"/>
  <c r="O18" i="53" s="1"/>
  <c r="N18" i="44"/>
  <c r="N18" i="53" s="1"/>
  <c r="M18" i="44"/>
  <c r="M18" i="53" s="1"/>
  <c r="L18" i="44"/>
  <c r="L18" i="53" s="1"/>
  <c r="K18" i="44"/>
  <c r="K18" i="53" s="1"/>
  <c r="J18" i="44"/>
  <c r="J18" i="53" s="1"/>
  <c r="I18" i="44"/>
  <c r="I18" i="53" s="1"/>
  <c r="H18" i="44"/>
  <c r="H18" i="53" s="1"/>
  <c r="G18" i="53"/>
  <c r="F18" i="53"/>
  <c r="E18" i="53"/>
  <c r="P14" i="44"/>
  <c r="P14" i="53" s="1"/>
  <c r="O14" i="44"/>
  <c r="O14" i="53" s="1"/>
  <c r="N14" i="44"/>
  <c r="N14" i="53" s="1"/>
  <c r="M14" i="44"/>
  <c r="M14" i="53" s="1"/>
  <c r="L14" i="44"/>
  <c r="L14" i="53" s="1"/>
  <c r="K14" i="44"/>
  <c r="K14" i="53" s="1"/>
  <c r="J14" i="44"/>
  <c r="J14" i="53" s="1"/>
  <c r="I14" i="44"/>
  <c r="I14" i="53" s="1"/>
  <c r="H14" i="44"/>
  <c r="H14" i="53" s="1"/>
  <c r="G14" i="44"/>
  <c r="G14" i="53" s="1"/>
  <c r="F14" i="53"/>
  <c r="E14" i="44"/>
  <c r="E14" i="53" s="1"/>
  <c r="P13" i="44"/>
  <c r="P13" i="53" s="1"/>
  <c r="O13" i="44"/>
  <c r="O13" i="53" s="1"/>
  <c r="N13" i="44"/>
  <c r="N13" i="53" s="1"/>
  <c r="M13" i="44"/>
  <c r="M13" i="53" s="1"/>
  <c r="L13" i="44"/>
  <c r="L13" i="53" s="1"/>
  <c r="K13" i="44"/>
  <c r="K13" i="53" s="1"/>
  <c r="J13" i="44"/>
  <c r="J13" i="53" s="1"/>
  <c r="I13" i="44"/>
  <c r="I13" i="53" s="1"/>
  <c r="H13" i="44"/>
  <c r="H13" i="53" s="1"/>
  <c r="G13" i="53"/>
  <c r="F13" i="53"/>
  <c r="E13" i="53"/>
  <c r="P12" i="44"/>
  <c r="P12" i="53" s="1"/>
  <c r="O12" i="44"/>
  <c r="O12" i="53" s="1"/>
  <c r="N12" i="44"/>
  <c r="N12" i="53" s="1"/>
  <c r="M12" i="44"/>
  <c r="M12" i="53" s="1"/>
  <c r="L12" i="44"/>
  <c r="L12" i="53" s="1"/>
  <c r="K12" i="44"/>
  <c r="K12" i="53" s="1"/>
  <c r="J12" i="44"/>
  <c r="J12" i="53" s="1"/>
  <c r="I12" i="44"/>
  <c r="I12" i="53" s="1"/>
  <c r="H12" i="44"/>
  <c r="H12" i="53" s="1"/>
  <c r="G12" i="53"/>
  <c r="F12" i="53"/>
  <c r="E12" i="53"/>
  <c r="P11" i="44"/>
  <c r="P11" i="53" s="1"/>
  <c r="O11" i="44"/>
  <c r="O11" i="53" s="1"/>
  <c r="N11" i="44"/>
  <c r="N11" i="53" s="1"/>
  <c r="M11" i="44"/>
  <c r="M11" i="53" s="1"/>
  <c r="L11" i="44"/>
  <c r="L11" i="53" s="1"/>
  <c r="K11" i="44"/>
  <c r="K11" i="53" s="1"/>
  <c r="J11" i="44"/>
  <c r="J11" i="53" s="1"/>
  <c r="I11" i="44"/>
  <c r="I11" i="53" s="1"/>
  <c r="H11" i="44"/>
  <c r="H11" i="53" s="1"/>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I45" i="49"/>
  <c r="H45" i="49"/>
  <c r="E45" i="49"/>
  <c r="L44" i="49"/>
  <c r="K44" i="49"/>
  <c r="J44" i="49"/>
  <c r="I44" i="49"/>
  <c r="H44" i="49"/>
  <c r="L43" i="49"/>
  <c r="K43" i="49"/>
  <c r="J43" i="49"/>
  <c r="I43" i="49"/>
  <c r="H43" i="49"/>
  <c r="L42" i="49"/>
  <c r="K42" i="49"/>
  <c r="J42" i="49"/>
  <c r="I42" i="49"/>
  <c r="H42" i="49"/>
  <c r="L41" i="49"/>
  <c r="K41" i="49"/>
  <c r="J41" i="49"/>
  <c r="I41" i="49"/>
  <c r="H41" i="49"/>
  <c r="L40" i="49"/>
  <c r="K40" i="49"/>
  <c r="J40" i="49"/>
  <c r="I40" i="49"/>
  <c r="H40" i="49"/>
  <c r="L39" i="49"/>
  <c r="K39" i="49"/>
  <c r="J39" i="49"/>
  <c r="I39" i="49"/>
  <c r="H39" i="49"/>
  <c r="L38" i="49"/>
  <c r="K38" i="49"/>
  <c r="J38" i="49"/>
  <c r="I38" i="49"/>
  <c r="H38" i="49"/>
  <c r="L37" i="49"/>
  <c r="K37" i="49"/>
  <c r="J37" i="49"/>
  <c r="I37" i="49"/>
  <c r="H37" i="49"/>
  <c r="L36" i="49"/>
  <c r="K36" i="49"/>
  <c r="J36" i="49"/>
  <c r="I36" i="49"/>
  <c r="H36" i="49"/>
  <c r="L31" i="49"/>
  <c r="L29" i="49"/>
  <c r="L28" i="49"/>
  <c r="L27" i="49"/>
  <c r="L26" i="49"/>
  <c r="L25" i="49"/>
  <c r="L24" i="49"/>
  <c r="L23" i="49"/>
  <c r="K31" i="49"/>
  <c r="K30" i="49"/>
  <c r="K29" i="49"/>
  <c r="K28" i="49"/>
  <c r="K27" i="49"/>
  <c r="K26" i="49"/>
  <c r="K25" i="49"/>
  <c r="K24" i="49"/>
  <c r="K23" i="49"/>
  <c r="J30" i="49"/>
  <c r="J29" i="49"/>
  <c r="J28" i="49"/>
  <c r="J27" i="49"/>
  <c r="J26" i="49"/>
  <c r="J25" i="49"/>
  <c r="J24" i="49"/>
  <c r="J23" i="49"/>
  <c r="I31" i="49"/>
  <c r="I30" i="49"/>
  <c r="I29" i="49"/>
  <c r="I28" i="49"/>
  <c r="I27" i="49"/>
  <c r="I26" i="49"/>
  <c r="I25" i="49"/>
  <c r="I24" i="49"/>
  <c r="I23" i="49"/>
  <c r="H31" i="49"/>
  <c r="H30" i="49"/>
  <c r="H29" i="49"/>
  <c r="H28" i="49"/>
  <c r="H27" i="49"/>
  <c r="H26" i="49"/>
  <c r="H25" i="49"/>
  <c r="H24" i="49"/>
  <c r="H23" i="49"/>
  <c r="I73" i="51"/>
  <c r="I71" i="51"/>
  <c r="I70" i="51"/>
  <c r="I68" i="51"/>
  <c r="I67" i="51"/>
  <c r="I65" i="51"/>
  <c r="I64" i="51"/>
  <c r="I62" i="51"/>
  <c r="I61" i="51"/>
  <c r="I59" i="51"/>
  <c r="I58" i="51"/>
  <c r="I56" i="51"/>
  <c r="I55" i="51"/>
  <c r="I53" i="51"/>
  <c r="I52" i="51"/>
  <c r="I50" i="51"/>
  <c r="I49" i="51"/>
  <c r="I47" i="51"/>
  <c r="I46" i="51"/>
  <c r="H74" i="51"/>
  <c r="H73" i="51"/>
  <c r="H71" i="51"/>
  <c r="H70" i="51"/>
  <c r="H68" i="51"/>
  <c r="H67" i="51"/>
  <c r="H65" i="51"/>
  <c r="H64" i="51"/>
  <c r="H62" i="51"/>
  <c r="H61" i="51"/>
  <c r="H59" i="51"/>
  <c r="H58" i="51"/>
  <c r="H56" i="51"/>
  <c r="H55" i="51"/>
  <c r="H53" i="51"/>
  <c r="H52" i="51"/>
  <c r="H50" i="51"/>
  <c r="H49" i="51"/>
  <c r="H47" i="51"/>
  <c r="H46" i="51"/>
  <c r="I39" i="51"/>
  <c r="I36" i="51"/>
  <c r="I33" i="51"/>
  <c r="I30" i="51"/>
  <c r="I27" i="51"/>
  <c r="I24" i="51"/>
  <c r="I21" i="51"/>
  <c r="I18" i="51"/>
  <c r="I15" i="51"/>
  <c r="I12" i="51"/>
  <c r="H39" i="51"/>
  <c r="H36" i="51"/>
  <c r="H33" i="51"/>
  <c r="H30" i="51"/>
  <c r="H27" i="51"/>
  <c r="H24" i="51"/>
  <c r="H21" i="51"/>
  <c r="H18" i="51"/>
  <c r="H15" i="51"/>
  <c r="H12" i="51"/>
  <c r="J31"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<sst xmlns="http://schemas.openxmlformats.org/spreadsheetml/2006/main" count="5119" uniqueCount="1912">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</sst>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t="s">
        <v>10</v>
      </c>
      <c r="E4" s="482"/>
      <c r="F4" s="6"/>
      <c r="G4" s="21" t="s">
        <v>226</v>
      </c>
      <c r="H4" s="481" t="s">
        <v>78</v>
      </c>
      <c r="I4" s="481"/>
      <c r="K4" s="21" t="s">
        <v>3</v>
      </c>
      <c r="L4" s="164">
        <v>1</v>
      </c>
      <c r="N4"/>
      <c r="O4"/>
      <c r="Q4" s="462" t="s">
        <v>1909</v>
      </c>
      <c r="R4" s="462"/>
    </row>
    <row r="5" spans="1:18" ht="24" customHeight="1" x14ac:dyDescent="0.3">
      <c r="A5" s="6"/>
      <c r="C5" s="21" t="s">
        <v>73</v>
      </c>
      <c r="D5" s="483" t="s">
        <v>1910</v>
      </c>
      <c r="E5" s="483"/>
      <c r="F5" s="6"/>
      <c r="N5" s="7"/>
      <c r="Q5" s="462"/>
      <c r="R5" s="462"/>
    </row>
    <row r="6" spans="1:18" ht="24" customHeight="1" x14ac:dyDescent="0.3">
      <c r="A6" s="6"/>
      <c r="C6" s="21" t="s">
        <v>84</v>
      </c>
      <c r="D6" s="482" t="s">
        <v>1911</v>
      </c>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v>500</v>
      </c>
      <c r="F11" s="128">
        <v>528</v>
      </c>
      <c r="G11" s="128">
        <v>473</v>
      </c>
      <c r="H11" s="128">
        <f>IF('Subcases Monthly'!$D$4="","",VLOOKUP('Subcases Monthly'!$D$4,DataLookUp!$A$4:$AVY$70,5,FALSE))</f>
        <v>0</v>
      </c>
      <c r="I11" s="128">
        <f>IF('Subcases Monthly'!$D$4="","",VLOOKUP('Subcases Monthly'!$D$4,DataLookUp!$A$4:$AVY$70,6,FALSE))</f>
        <v>0</v>
      </c>
      <c r="J11" s="128">
        <f>IF('Subcases Monthly'!$D$4="","",VLOOKUP('Subcases Monthly'!$D$4,DataLookUp!$A$4:$AVY$70,7,FALSE))</f>
        <v>0</v>
      </c>
      <c r="K11" s="128">
        <f>IF('Subcases Monthly'!$D$4="","",VLOOKUP('Subcases Monthly'!$D$4,DataLookUp!$A$4:$AVY$70,8,FALSE))</f>
        <v>0</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1501</v>
      </c>
      <c r="R11" s="470">
        <f>IF('Subcases Monthly'!$D$4="","",VLOOKUP('Subcases Monthly'!$D$4,DataLookUp!$A$4:$AVY$70,1264,FALSE))</f>
        <v>0</v>
      </c>
    </row>
    <row r="12" spans="1:18" ht="20.100000000000001" customHeight="1" x14ac:dyDescent="0.2">
      <c r="B12" s="197">
        <v>2</v>
      </c>
      <c r="C12" s="476" t="s">
        <v>404</v>
      </c>
      <c r="D12" s="477"/>
      <c r="E12" s="130">
        <v>0</v>
      </c>
      <c r="F12" s="131">
        <v>0</v>
      </c>
      <c r="G12" s="131">
        <v>0</v>
      </c>
      <c r="H12" s="131">
        <f>IF('Subcases Monthly'!$D$4="","",VLOOKUP('Subcases Monthly'!$D$4,DataLookUp!$A$4:$AVY$70,18,FALSE))</f>
        <v>0</v>
      </c>
      <c r="I12" s="131">
        <f>IF('Subcases Monthly'!$D$4="","",VLOOKUP('Subcases Monthly'!$D$4,DataLookUp!$A$4:$AVY$70,19,FALSE))</f>
        <v>0</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0</v>
      </c>
      <c r="R12" s="470"/>
    </row>
    <row r="13" spans="1:18" ht="20.100000000000001" customHeight="1" x14ac:dyDescent="0.2">
      <c r="B13" s="197">
        <v>2</v>
      </c>
      <c r="C13" s="476" t="s">
        <v>389</v>
      </c>
      <c r="D13" s="477"/>
      <c r="E13" s="127">
        <v>25</v>
      </c>
      <c r="F13" s="128">
        <v>21</v>
      </c>
      <c r="G13" s="128">
        <v>30</v>
      </c>
      <c r="H13" s="128">
        <f>IF('Subcases Monthly'!$D$4="","",VLOOKUP('Subcases Monthly'!$D$4,DataLookUp!$A$4:$AVY$70,31,FALSE))</f>
        <v>0</v>
      </c>
      <c r="I13" s="128">
        <f>IF('Subcases Monthly'!$D$4="","",VLOOKUP('Subcases Monthly'!$D$4,DataLookUp!$A$4:$AVY$70,32,FALSE))</f>
        <v>0</v>
      </c>
      <c r="J13" s="128">
        <f>IF('Subcases Monthly'!$D$4="","",VLOOKUP('Subcases Monthly'!$D$4,DataLookUp!$A$4:$AVY$70,33,FALSE))</f>
        <v>0</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76</v>
      </c>
      <c r="R13" s="470"/>
    </row>
    <row r="14" spans="1:18" ht="20.100000000000001" customHeight="1" thickBot="1" x14ac:dyDescent="0.25">
      <c r="B14" s="197">
        <v>1</v>
      </c>
      <c r="C14" s="472" t="s">
        <v>157</v>
      </c>
      <c r="D14" s="473"/>
      <c r="E14" s="220">
        <f>IF('Subcases Monthly'!$D$4="","",VLOOKUP('Subcases Monthly'!$D$4,DataLookUp!$A$4:$AVY$70,41,FALSE))</f>
        <v>0</v>
      </c>
      <c r="F14" s="221">
        <v>0</v>
      </c>
      <c r="G14" s="221">
        <f>IF('Subcases Monthly'!$D$4="","",VLOOKUP('Subcases Monthly'!$D$4,DataLookUp!$A$4:$AVY$70,43,FALSE))</f>
        <v>0</v>
      </c>
      <c r="H14" s="221">
        <f>IF('Subcases Monthly'!$D$4="","",VLOOKUP('Subcases Monthly'!$D$4,DataLookUp!$A$4:$AVY$70,44,FALSE))</f>
        <v>0</v>
      </c>
      <c r="I14" s="221">
        <f>IF('Subcases Monthly'!$D$4="","",VLOOKUP('Subcases Monthly'!$D$4,DataLookUp!$A$4:$AVY$70,45,FALSE))</f>
        <v>0</v>
      </c>
      <c r="J14" s="221">
        <f>IF('Subcases Monthly'!$D$4="","",VLOOKUP('Subcases Monthly'!$D$4,DataLookUp!$A$4:$AVY$70,46,FALSE))</f>
        <v>0</v>
      </c>
      <c r="K14" s="221">
        <f>IF('Subcases Monthly'!$D$4="","",VLOOKUP('Subcases Monthly'!$D$4,DataLookUp!$A$4:$AVY$70,47,FALSE))</f>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71"/>
    </row>
    <row r="15" spans="1:18" s="13" customFormat="1" ht="20.100000000000001" customHeight="1" thickTop="1" thickBot="1" x14ac:dyDescent="0.25">
      <c r="B15" s="196"/>
      <c r="C15" s="474" t="s">
        <v>158</v>
      </c>
      <c r="D15" s="475"/>
      <c r="E15" s="211">
        <f t="shared" ref="E15:P15" si="2">SUM(E11:E14)</f>
        <v>525</v>
      </c>
      <c r="F15" s="212">
        <f t="shared" si="2"/>
        <v>549</v>
      </c>
      <c r="G15" s="212">
        <f t="shared" si="2"/>
        <v>503</v>
      </c>
      <c r="H15" s="212">
        <f t="shared" si="2"/>
        <v>0</v>
      </c>
      <c r="I15" s="212">
        <f t="shared" si="2"/>
        <v>0</v>
      </c>
      <c r="J15" s="212">
        <f t="shared" si="2"/>
        <v>0</v>
      </c>
      <c r="K15" s="212">
        <f t="shared" si="2"/>
        <v>0</v>
      </c>
      <c r="L15" s="212">
        <f t="shared" si="2"/>
        <v>0</v>
      </c>
      <c r="M15" s="212">
        <f t="shared" si="2"/>
        <v>0</v>
      </c>
      <c r="N15" s="212">
        <f t="shared" si="2"/>
        <v>0</v>
      </c>
      <c r="O15" s="212">
        <f t="shared" si="2"/>
        <v>0</v>
      </c>
      <c r="P15" s="213">
        <f t="shared" si="2"/>
        <v>0</v>
      </c>
      <c r="Q15" s="247">
        <f>SUM(E15:P15)</f>
        <v>1577</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v>369</v>
      </c>
      <c r="F18" s="131">
        <v>408</v>
      </c>
      <c r="G18" s="131">
        <v>440</v>
      </c>
      <c r="H18" s="131">
        <f>IF('Subcases Monthly'!$D$4="","",VLOOKUP('Subcases Monthly'!$D$4,DataLookUp!$A$4:$AVY$70,70,FALSE))</f>
        <v>0</v>
      </c>
      <c r="I18" s="131">
        <f>IF('Subcases Monthly'!$D$4="","",VLOOKUP('Subcases Monthly'!$D$4,DataLookUp!$A$4:$AVY$70,71,FALSE))</f>
        <v>0</v>
      </c>
      <c r="J18" s="131">
        <f>IF('Subcases Monthly'!$D$4="","",VLOOKUP('Subcases Monthly'!$D$4,DataLookUp!$A$4:$AVY$70,72,FALSE))</f>
        <v>0</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1217</v>
      </c>
      <c r="R18" s="469">
        <f>IF('Subcases Monthly'!$D$4="","",VLOOKUP('Subcases Monthly'!$D$4,DataLookUp!$A$4:$AVY$70,1265,FALSE))</f>
        <v>0</v>
      </c>
    </row>
    <row r="19" spans="1:18" ht="20.100000000000001" customHeight="1" x14ac:dyDescent="0.2">
      <c r="B19" s="190"/>
      <c r="C19" s="476" t="s">
        <v>160</v>
      </c>
      <c r="D19" s="477"/>
      <c r="E19" s="127">
        <v>4</v>
      </c>
      <c r="F19" s="128">
        <v>5</v>
      </c>
      <c r="G19" s="128">
        <v>10</v>
      </c>
      <c r="H19" s="128">
        <f>IF('Subcases Monthly'!$D$4="","",VLOOKUP('Subcases Monthly'!$D$4,DataLookUp!$A$4:$AVY$70,83,FALSE))</f>
        <v>0</v>
      </c>
      <c r="I19" s="128">
        <f>IF('Subcases Monthly'!$D$4="","",VLOOKUP('Subcases Monthly'!$D$4,DataLookUp!$A$4:$AVY$70,84,FALSE))</f>
        <v>0</v>
      </c>
      <c r="J19" s="128">
        <f>IF('Subcases Monthly'!$D$4="","",VLOOKUP('Subcases Monthly'!$D$4,DataLookUp!$A$4:$AVY$70,85,FALSE))</f>
        <v>0</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19</v>
      </c>
      <c r="R19" s="470"/>
    </row>
    <row r="20" spans="1:18" ht="20.100000000000001" customHeight="1" x14ac:dyDescent="0.2">
      <c r="B20" s="190"/>
      <c r="C20" s="476" t="s">
        <v>161</v>
      </c>
      <c r="D20" s="477"/>
      <c r="E20" s="130">
        <v>112</v>
      </c>
      <c r="F20" s="131">
        <v>152</v>
      </c>
      <c r="G20" s="131">
        <v>134</v>
      </c>
      <c r="H20" s="131">
        <f>IF('Subcases Monthly'!$D$4="","",VLOOKUP('Subcases Monthly'!$D$4,DataLookUp!$A$4:$AVY$70,96,FALSE))</f>
        <v>0</v>
      </c>
      <c r="I20" s="131">
        <f>IF('Subcases Monthly'!$D$4="","",VLOOKUP('Subcases Monthly'!$D$4,DataLookUp!$A$4:$AVY$70,97,FALSE))</f>
        <v>0</v>
      </c>
      <c r="J20" s="131">
        <f>IF('Subcases Monthly'!$D$4="","",VLOOKUP('Subcases Monthly'!$D$4,DataLookUp!$A$4:$AVY$70,98,FALSE))</f>
        <v>0</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398</v>
      </c>
      <c r="R20" s="470"/>
    </row>
    <row r="21" spans="1:18" ht="20.100000000000001" customHeight="1" x14ac:dyDescent="0.2">
      <c r="B21" s="197">
        <v>2</v>
      </c>
      <c r="C21" s="476" t="s">
        <v>389</v>
      </c>
      <c r="D21" s="477"/>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70"/>
    </row>
    <row r="22" spans="1:18" ht="20.100000000000001" customHeight="1" thickBot="1" x14ac:dyDescent="0.25">
      <c r="B22" s="197">
        <v>1</v>
      </c>
      <c r="C22" s="472" t="s">
        <v>157</v>
      </c>
      <c r="D22" s="473"/>
      <c r="E22" s="220">
        <f>IF('Subcases Monthly'!$D$4="","",VLOOKUP('Subcases Monthly'!$D$4,DataLookUp!$A$4:$AVY$70,119,FALSE))</f>
        <v>0</v>
      </c>
      <c r="F22" s="221">
        <v>1</v>
      </c>
      <c r="G22" s="221">
        <v>1</v>
      </c>
      <c r="H22" s="221">
        <f>IF('Subcases Monthly'!$D$4="","",VLOOKUP('Subcases Monthly'!$D$4,DataLookUp!$A$4:$AVY$70,122,FALSE))</f>
        <v>0</v>
      </c>
      <c r="I22" s="221">
        <f>IF('Subcases Monthly'!$D$4="","",VLOOKUP('Subcases Monthly'!$D$4,DataLookUp!$A$4:$AVY$70,123,FALSE))</f>
        <v>0</v>
      </c>
      <c r="J22" s="221">
        <f>IF('Subcases Monthly'!$D$4="","",VLOOKUP('Subcases Monthly'!$D$4,DataLookUp!$A$4:$AVY$70,124,FALSE))</f>
        <v>0</v>
      </c>
      <c r="K22" s="221">
        <f>IF('Subcases Monthly'!$D$4="","",VLOOKUP('Subcases Monthly'!$D$4,DataLookUp!$A$4:$AVY$70,125,FALSE))</f>
        <v>0</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2</v>
      </c>
      <c r="R22" s="471"/>
    </row>
    <row r="23" spans="1:18" s="13" customFormat="1" ht="20.100000000000001" customHeight="1" thickTop="1" thickBot="1" x14ac:dyDescent="0.25">
      <c r="B23" s="192"/>
      <c r="C23" s="474" t="s">
        <v>162</v>
      </c>
      <c r="D23" s="475"/>
      <c r="E23" s="211">
        <f t="shared" ref="E23:P23" si="5">SUM(E18:E22)</f>
        <v>485</v>
      </c>
      <c r="F23" s="212">
        <f t="shared" si="5"/>
        <v>566</v>
      </c>
      <c r="G23" s="212">
        <f t="shared" si="5"/>
        <v>585</v>
      </c>
      <c r="H23" s="212">
        <f t="shared" si="5"/>
        <v>0</v>
      </c>
      <c r="I23" s="212">
        <f t="shared" si="5"/>
        <v>0</v>
      </c>
      <c r="J23" s="212">
        <f t="shared" si="5"/>
        <v>0</v>
      </c>
      <c r="K23" s="212">
        <f t="shared" si="5"/>
        <v>0</v>
      </c>
      <c r="L23" s="212">
        <f t="shared" si="5"/>
        <v>0</v>
      </c>
      <c r="M23" s="212">
        <f t="shared" si="5"/>
        <v>0</v>
      </c>
      <c r="N23" s="212">
        <f t="shared" si="5"/>
        <v>0</v>
      </c>
      <c r="O23" s="212">
        <f t="shared" si="5"/>
        <v>0</v>
      </c>
      <c r="P23" s="213">
        <f t="shared" si="5"/>
        <v>0</v>
      </c>
      <c r="Q23" s="247">
        <f t="shared" si="4"/>
        <v>1636</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v>96</v>
      </c>
      <c r="F26" s="131">
        <v>95</v>
      </c>
      <c r="G26" s="131">
        <v>76</v>
      </c>
      <c r="H26" s="131">
        <f>IF('Subcases Monthly'!$D$4="","",VLOOKUP('Subcases Monthly'!$D$4,DataLookUp!$A$4:$AVY$70,148,FALSE))</f>
        <v>0</v>
      </c>
      <c r="I26" s="131">
        <f>IF('Subcases Monthly'!$D$4="","",VLOOKUP('Subcases Monthly'!$D$4,DataLookUp!$A$4:$AVY$70,149,FALSE))</f>
        <v>0</v>
      </c>
      <c r="J26" s="131">
        <f>IF('Subcases Monthly'!$D$4="","",VLOOKUP('Subcases Monthly'!$D$4,DataLookUp!$A$4:$AVY$70,150,FALSE))</f>
        <v>0</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267</v>
      </c>
      <c r="R26" s="463">
        <f>IF('Subcases Monthly'!$D$4="","",VLOOKUP('Subcases Monthly'!$D$4,DataLookUp!$A$4:$AVY$70,1266,FALSE))</f>
        <v>0</v>
      </c>
    </row>
    <row r="27" spans="1:18" ht="20.100000000000001" customHeight="1" x14ac:dyDescent="0.2">
      <c r="B27" s="197">
        <v>2</v>
      </c>
      <c r="C27" s="476" t="s">
        <v>390</v>
      </c>
      <c r="D27" s="477"/>
      <c r="E27" s="127">
        <v>0</v>
      </c>
      <c r="F27" s="128">
        <v>0</v>
      </c>
      <c r="G27" s="128">
        <v>2</v>
      </c>
      <c r="H27" s="128">
        <f>IF('Subcases Monthly'!$D$4="","",VLOOKUP('Subcases Monthly'!$D$4,DataLookUp!$A$4:$AVY$70,161,FALSE))</f>
        <v>0</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2</v>
      </c>
      <c r="R27" s="464"/>
    </row>
    <row r="28" spans="1:18" ht="20.100000000000001" customHeight="1" x14ac:dyDescent="0.2">
      <c r="B28" s="190"/>
      <c r="C28" s="476" t="s">
        <v>164</v>
      </c>
      <c r="D28" s="477"/>
      <c r="E28" s="130">
        <v>1</v>
      </c>
      <c r="F28" s="131">
        <v>0</v>
      </c>
      <c r="G28" s="131">
        <v>1</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2</v>
      </c>
      <c r="R28" s="464"/>
    </row>
    <row r="29" spans="1:18" ht="20.100000000000001" customHeight="1" thickBot="1" x14ac:dyDescent="0.25">
      <c r="B29" s="197">
        <v>1</v>
      </c>
      <c r="C29" s="472" t="s">
        <v>157</v>
      </c>
      <c r="D29" s="473"/>
      <c r="E29" s="215">
        <f>IF('Subcases Monthly'!$D$4="","",VLOOKUP('Subcases Monthly'!$D$4,DataLookUp!$A$4:$AVY$70,184,FALSE))</f>
        <v>0</v>
      </c>
      <c r="F29" s="216">
        <v>0</v>
      </c>
      <c r="G29" s="216">
        <v>0</v>
      </c>
      <c r="H29" s="216">
        <f>IF('Subcases Monthly'!$D$4="","",VLOOKUP('Subcases Monthly'!$D$4,DataLookUp!$A$4:$AVY$70,187,FALSE))</f>
        <v>0</v>
      </c>
      <c r="I29" s="216">
        <f>IF('Subcases Monthly'!$D$4="","",VLOOKUP('Subcases Monthly'!$D$4,DataLookUp!$A$4:$AVY$70,187,FALSE))</f>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65"/>
    </row>
    <row r="30" spans="1:18" s="13" customFormat="1" ht="20.100000000000001" customHeight="1" thickTop="1" thickBot="1" x14ac:dyDescent="0.25">
      <c r="B30" s="192"/>
      <c r="C30" s="474" t="s">
        <v>165</v>
      </c>
      <c r="D30" s="475"/>
      <c r="E30" s="211">
        <f>SUM(E26:E29)</f>
        <v>97</v>
      </c>
      <c r="F30" s="212">
        <f t="shared" ref="F30:P30" si="17">SUM(F26:F29)</f>
        <v>95</v>
      </c>
      <c r="G30" s="212">
        <f t="shared" si="17"/>
        <v>79</v>
      </c>
      <c r="H30" s="212">
        <f t="shared" si="17"/>
        <v>0</v>
      </c>
      <c r="I30" s="212">
        <f t="shared" si="17"/>
        <v>0</v>
      </c>
      <c r="J30" s="212">
        <f t="shared" si="17"/>
        <v>0</v>
      </c>
      <c r="K30" s="212">
        <f t="shared" si="17"/>
        <v>0</v>
      </c>
      <c r="L30" s="212">
        <f t="shared" si="17"/>
        <v>0</v>
      </c>
      <c r="M30" s="212">
        <f t="shared" si="17"/>
        <v>0</v>
      </c>
      <c r="N30" s="212">
        <f t="shared" si="17"/>
        <v>0</v>
      </c>
      <c r="O30" s="212">
        <f t="shared" si="17"/>
        <v>0</v>
      </c>
      <c r="P30" s="213">
        <f t="shared" si="17"/>
        <v>0</v>
      </c>
      <c r="Q30" s="247">
        <f t="shared" si="16"/>
        <v>271</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v>150</v>
      </c>
      <c r="F33" s="131">
        <v>160</v>
      </c>
      <c r="G33" s="131">
        <v>179</v>
      </c>
      <c r="H33" s="131">
        <f>IF('Subcases Monthly'!$D$4="","",VLOOKUP('Subcases Monthly'!$D$4,DataLookUp!$A$4:$AVY$70,213,FALSE))</f>
        <v>0</v>
      </c>
      <c r="I33" s="131">
        <f>IF('Subcases Monthly'!$D$4="","",VLOOKUP('Subcases Monthly'!$D$4,DataLookUp!$A$4:$AVY$70,214,FALSE))</f>
        <v>0</v>
      </c>
      <c r="J33" s="131">
        <f>IF('Subcases Monthly'!$D$4="","",VLOOKUP('Subcases Monthly'!$D$4,DataLookUp!$A$4:$AVY$70,215,FALSE))</f>
        <v>0</v>
      </c>
      <c r="K33" s="131">
        <f>IF('Subcases Monthly'!$D$4="","",VLOOKUP('Subcases Monthly'!$D$4,DataLookUp!$A$4:$AVY$70,216,FALSE))</f>
        <v>0</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489</v>
      </c>
      <c r="R33" s="466">
        <f>IF('Subcases Monthly'!$D$4="","",VLOOKUP('Subcases Monthly'!$D$4,DataLookUp!$A$4:$AVY$70,1267,FALSE))</f>
        <v>0</v>
      </c>
    </row>
    <row r="34" spans="1:18" ht="20.100000000000001" customHeight="1" x14ac:dyDescent="0.2">
      <c r="B34" s="190"/>
      <c r="C34" s="476" t="s">
        <v>168</v>
      </c>
      <c r="D34" s="477"/>
      <c r="E34" s="127">
        <v>561</v>
      </c>
      <c r="F34" s="128">
        <v>549</v>
      </c>
      <c r="G34" s="128">
        <v>555</v>
      </c>
      <c r="H34" s="128">
        <f>IF('Subcases Monthly'!$D$4="","",VLOOKUP('Subcases Monthly'!$D$4,DataLookUp!$A$4:$AVY$70,226,FALSE))</f>
        <v>0</v>
      </c>
      <c r="I34" s="128">
        <f>IF('Subcases Monthly'!$D$4="","",VLOOKUP('Subcases Monthly'!$D$4,DataLookUp!$A$4:$AVY$70,227,FALSE))</f>
        <v>0</v>
      </c>
      <c r="J34" s="128">
        <f>IF('Subcases Monthly'!$D$4="","",VLOOKUP('Subcases Monthly'!$D$4,DataLookUp!$A$4:$AVY$70,228,FALSE))</f>
        <v>0</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1665</v>
      </c>
      <c r="R34" s="467"/>
    </row>
    <row r="35" spans="1:18" ht="20.100000000000001" customHeight="1" thickBot="1" x14ac:dyDescent="0.25">
      <c r="B35" s="197">
        <v>1</v>
      </c>
      <c r="C35" s="472" t="s">
        <v>157</v>
      </c>
      <c r="D35" s="473"/>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68"/>
    </row>
    <row r="36" spans="1:18" s="13" customFormat="1" ht="20.100000000000001" customHeight="1" thickTop="1" thickBot="1" x14ac:dyDescent="0.25">
      <c r="B36" s="192"/>
      <c r="C36" s="474" t="s">
        <v>169</v>
      </c>
      <c r="D36" s="475"/>
      <c r="E36" s="211">
        <f>SUM(E33:E35)</f>
        <v>711</v>
      </c>
      <c r="F36" s="212">
        <f t="shared" ref="F36:P36" si="20">SUM(F33:F35)</f>
        <v>709</v>
      </c>
      <c r="G36" s="212">
        <f t="shared" si="20"/>
        <v>734</v>
      </c>
      <c r="H36" s="212">
        <f t="shared" si="20"/>
        <v>0</v>
      </c>
      <c r="I36" s="212">
        <f t="shared" si="20"/>
        <v>0</v>
      </c>
      <c r="J36" s="212">
        <f t="shared" si="20"/>
        <v>0</v>
      </c>
      <c r="K36" s="212">
        <f t="shared" si="20"/>
        <v>0</v>
      </c>
      <c r="L36" s="212">
        <f t="shared" si="20"/>
        <v>0</v>
      </c>
      <c r="M36" s="212">
        <f t="shared" si="20"/>
        <v>0</v>
      </c>
      <c r="N36" s="212">
        <f t="shared" si="20"/>
        <v>0</v>
      </c>
      <c r="O36" s="212">
        <f t="shared" si="20"/>
        <v>0</v>
      </c>
      <c r="P36" s="261">
        <f t="shared" si="20"/>
        <v>0</v>
      </c>
      <c r="Q36" s="136">
        <f t="shared" si="19"/>
        <v>2154</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v>2</v>
      </c>
      <c r="F39" s="131">
        <v>1</v>
      </c>
      <c r="G39" s="131">
        <v>4</v>
      </c>
      <c r="H39" s="131">
        <f>IF('Subcases Monthly'!$D$4="","",VLOOKUP('Subcases Monthly'!$D$4,DataLookUp!$A$4:$AVY$70,265,FALSE))</f>
        <v>0</v>
      </c>
      <c r="I39" s="131">
        <f>IF('Subcases Monthly'!$D$4="","",VLOOKUP('Subcases Monthly'!$D$4,DataLookUp!$A$4:$AVY$70,266,FALSE))</f>
        <v>0</v>
      </c>
      <c r="J39" s="131">
        <f>IF('Subcases Monthly'!$D$4="","",VLOOKUP('Subcases Monthly'!$D$4,DataLookUp!$A$4:$AVY$70,267,FALSE))</f>
        <v>0</v>
      </c>
      <c r="K39" s="131">
        <f>IF('Subcases Monthly'!$D$4="","",VLOOKUP('Subcases Monthly'!$D$4,DataLookUp!$A$4:$AVY$70,268,FALSE))</f>
        <v>0</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7</v>
      </c>
      <c r="R39" s="466">
        <f>IF('Subcases Monthly'!$D$4="","",VLOOKUP('Subcases Monthly'!$D$4,DataLookUp!$A$4:$AVY$70,1268,FALSE))</f>
        <v>0</v>
      </c>
    </row>
    <row r="40" spans="1:18" ht="20.100000000000001" customHeight="1" x14ac:dyDescent="0.2">
      <c r="B40" s="190"/>
      <c r="C40" s="476" t="s">
        <v>171</v>
      </c>
      <c r="D40" s="477"/>
      <c r="E40" s="128">
        <v>0</v>
      </c>
      <c r="F40" s="128">
        <v>0</v>
      </c>
      <c r="G40" s="128">
        <v>2</v>
      </c>
      <c r="H40" s="128">
        <f>IF('Subcases Monthly'!$D$4="","",VLOOKUP('Subcases Monthly'!$D$4,DataLookUp!$A$4:$AVY$70,278,FALSE))</f>
        <v>0</v>
      </c>
      <c r="I40" s="128">
        <f>IF('Subcases Monthly'!$D$4="","",VLOOKUP('Subcases Monthly'!$D$4,DataLookUp!$A$4:$AVY$70,279,FALSE))</f>
        <v>0</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2</v>
      </c>
      <c r="R40" s="467"/>
    </row>
    <row r="41" spans="1:18" ht="20.100000000000001" customHeight="1" x14ac:dyDescent="0.2">
      <c r="B41" s="190"/>
      <c r="C41" s="476" t="s">
        <v>172</v>
      </c>
      <c r="D41" s="477"/>
      <c r="E41" s="131">
        <v>78</v>
      </c>
      <c r="F41" s="131">
        <v>62</v>
      </c>
      <c r="G41" s="131">
        <v>97</v>
      </c>
      <c r="H41" s="131">
        <f>IF('Subcases Monthly'!$D$4="","",VLOOKUP('Subcases Monthly'!$D$4,DataLookUp!$A$4:$AVY$70,291,FALSE))</f>
        <v>0</v>
      </c>
      <c r="I41" s="131">
        <f>IF('Subcases Monthly'!$D$4="","",VLOOKUP('Subcases Monthly'!$D$4,DataLookUp!$A$4:$AVY$70,292,FALSE))</f>
        <v>0</v>
      </c>
      <c r="J41" s="131">
        <f>IF('Subcases Monthly'!$D$4="","",VLOOKUP('Subcases Monthly'!$D$4,DataLookUp!$A$4:$AVY$70,293,FALSE))</f>
        <v>0</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237</v>
      </c>
      <c r="R41" s="467"/>
    </row>
    <row r="42" spans="1:18" ht="20.100000000000001" customHeight="1" x14ac:dyDescent="0.2">
      <c r="B42" s="190"/>
      <c r="C42" s="476" t="s">
        <v>173</v>
      </c>
      <c r="D42" s="477"/>
      <c r="E42" s="128">
        <v>1</v>
      </c>
      <c r="F42" s="128">
        <v>1</v>
      </c>
      <c r="G42" s="128">
        <v>1</v>
      </c>
      <c r="H42" s="128">
        <f>IF('Subcases Monthly'!$D$4="","",VLOOKUP('Subcases Monthly'!$D$4,DataLookUp!$A$4:$AVY$70,304,FALSE))</f>
        <v>0</v>
      </c>
      <c r="I42" s="128">
        <f>IF('Subcases Monthly'!$D$4="","",VLOOKUP('Subcases Monthly'!$D$4,DataLookUp!$A$4:$AVY$70,305,FALSE))</f>
        <v>0</v>
      </c>
      <c r="J42" s="128">
        <f>IF('Subcases Monthly'!$D$4="","",VLOOKUP('Subcases Monthly'!$D$4,DataLookUp!$A$4:$AVY$70,306,FALSE))</f>
        <v>0</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3</v>
      </c>
      <c r="R42" s="467"/>
    </row>
    <row r="43" spans="1:18" ht="20.100000000000001" customHeight="1" x14ac:dyDescent="0.2">
      <c r="B43" s="190"/>
      <c r="C43" s="476" t="s">
        <v>174</v>
      </c>
      <c r="D43" s="477"/>
      <c r="E43" s="131">
        <v>64</v>
      </c>
      <c r="F43" s="131">
        <v>43</v>
      </c>
      <c r="G43" s="131">
        <v>47</v>
      </c>
      <c r="H43" s="131">
        <f>IF('Subcases Monthly'!$D$4="","",VLOOKUP('Subcases Monthly'!$D$4,DataLookUp!$A$4:$AVY$70,317,FALSE))</f>
        <v>0</v>
      </c>
      <c r="I43" s="131">
        <f>IF('Subcases Monthly'!$D$4="","",VLOOKUP('Subcases Monthly'!$D$4,DataLookUp!$A$4:$AVY$70,318,FALSE))</f>
        <v>0</v>
      </c>
      <c r="J43" s="131">
        <f>IF('Subcases Monthly'!$D$4="","",VLOOKUP('Subcases Monthly'!$D$4,DataLookUp!$A$4:$AVY$70,319,FALSE))</f>
        <v>0</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154</v>
      </c>
      <c r="R43" s="467"/>
    </row>
    <row r="44" spans="1:18" ht="20.100000000000001" customHeight="1" x14ac:dyDescent="0.2">
      <c r="B44" s="190"/>
      <c r="C44" s="476" t="s">
        <v>175</v>
      </c>
      <c r="D44" s="477"/>
      <c r="E44" s="128">
        <v>0</v>
      </c>
      <c r="F44" s="128">
        <v>0</v>
      </c>
      <c r="G44" s="128">
        <v>0</v>
      </c>
      <c r="H44" s="128">
        <f>IF('Subcases Monthly'!$D$4="","",VLOOKUP('Subcases Monthly'!$D$4,DataLookUp!$A$4:$AVY$70,330,FALSE))</f>
        <v>0</v>
      </c>
      <c r="I44" s="128">
        <f>IF('Subcases Monthly'!$D$4="","",VLOOKUP('Subcases Monthly'!$D$4,DataLookUp!$A$4:$AVY$70,331,FALSE))</f>
        <v>0</v>
      </c>
      <c r="J44" s="128">
        <f>IF('Subcases Monthly'!$D$4="","",VLOOKUP('Subcases Monthly'!$D$4,DataLookUp!$A$4:$AVY$70,332,FALSE))</f>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0</v>
      </c>
      <c r="R44" s="467"/>
    </row>
    <row r="45" spans="1:18" ht="20.100000000000001" customHeight="1" x14ac:dyDescent="0.2">
      <c r="B45" s="190"/>
      <c r="C45" s="476" t="s">
        <v>176</v>
      </c>
      <c r="D45" s="477"/>
      <c r="E45" s="131">
        <v>31</v>
      </c>
      <c r="F45" s="131">
        <v>28</v>
      </c>
      <c r="G45" s="131">
        <v>31</v>
      </c>
      <c r="H45" s="131">
        <f>IF('Subcases Monthly'!$D$4="","",VLOOKUP('Subcases Monthly'!$D$4,DataLookUp!$A$4:$AVY$70,343,FALSE))</f>
        <v>0</v>
      </c>
      <c r="I45" s="131">
        <f>IF('Subcases Monthly'!$D$4="","",VLOOKUP('Subcases Monthly'!$D$4,DataLookUp!$A$4:$AVY$70,344,FALSE))</f>
        <v>0</v>
      </c>
      <c r="J45" s="131">
        <f>IF('Subcases Monthly'!$D$4="","",VLOOKUP('Subcases Monthly'!$D$4,DataLookUp!$A$4:$AVY$70,345,FALSE))</f>
        <v>0</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90</v>
      </c>
      <c r="R45" s="467"/>
    </row>
    <row r="46" spans="1:18" ht="20.100000000000001" customHeight="1" x14ac:dyDescent="0.2">
      <c r="B46" s="190"/>
      <c r="C46" s="476" t="s">
        <v>177</v>
      </c>
      <c r="D46" s="477"/>
      <c r="E46" s="128">
        <v>3</v>
      </c>
      <c r="F46" s="128">
        <v>0</v>
      </c>
      <c r="G46" s="128">
        <v>5</v>
      </c>
      <c r="H46" s="128">
        <f>IF('Subcases Monthly'!$D$4="","",VLOOKUP('Subcases Monthly'!$D$4,DataLookUp!$A$4:$AVY$70,356,FALSE))</f>
        <v>0</v>
      </c>
      <c r="I46" s="128">
        <f>IF('Subcases Monthly'!$D$4="","",VLOOKUP('Subcases Monthly'!$D$4,DataLookUp!$A$4:$AVY$70,357,FALSE))</f>
        <v>0</v>
      </c>
      <c r="J46" s="128">
        <f>IF('Subcases Monthly'!$D$4="","",VLOOKUP('Subcases Monthly'!$D$4,DataLookUp!$A$4:$AVY$70,358,FALSE))</f>
        <v>0</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8</v>
      </c>
      <c r="R46" s="467"/>
    </row>
    <row r="47" spans="1:18" ht="20.100000000000001" customHeight="1" x14ac:dyDescent="0.2">
      <c r="B47" s="190"/>
      <c r="C47" s="476" t="s">
        <v>178</v>
      </c>
      <c r="D47" s="477"/>
      <c r="E47" s="131">
        <v>25</v>
      </c>
      <c r="F47" s="131">
        <v>20</v>
      </c>
      <c r="G47" s="131">
        <v>21</v>
      </c>
      <c r="H47" s="131">
        <f>IF('Subcases Monthly'!$D$4="","",VLOOKUP('Subcases Monthly'!$D$4,DataLookUp!$A$4:$AVY$70,369,FALSE))</f>
        <v>0</v>
      </c>
      <c r="I47" s="131">
        <f>IF('Subcases Monthly'!$D$4="","",VLOOKUP('Subcases Monthly'!$D$4,DataLookUp!$A$4:$AVY$70,370,FALSE))</f>
        <v>0</v>
      </c>
      <c r="J47" s="131">
        <f>IF('Subcases Monthly'!$D$4="","",VLOOKUP('Subcases Monthly'!$D$4,DataLookUp!$A$4:$AVY$70,371,FALSE))</f>
        <v>0</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66</v>
      </c>
      <c r="R47" s="467"/>
    </row>
    <row r="48" spans="1:18" ht="20.100000000000001" customHeight="1" x14ac:dyDescent="0.2">
      <c r="B48" s="190"/>
      <c r="C48" s="476" t="s">
        <v>179</v>
      </c>
      <c r="D48" s="477"/>
      <c r="E48" s="128">
        <v>23</v>
      </c>
      <c r="F48" s="128">
        <v>11</v>
      </c>
      <c r="G48" s="128">
        <v>12</v>
      </c>
      <c r="H48" s="128">
        <f>IF('Subcases Monthly'!$D$4="","",VLOOKUP('Subcases Monthly'!$D$4,DataLookUp!$A$4:$AVY$70,382,FALSE))</f>
        <v>0</v>
      </c>
      <c r="I48" s="128">
        <f>IF('Subcases Monthly'!$D$4="","",VLOOKUP('Subcases Monthly'!$D$4,DataLookUp!$A$4:$AVY$70,383,FALSE))</f>
        <v>0</v>
      </c>
      <c r="J48" s="128">
        <f>IF('Subcases Monthly'!$D$4="","",VLOOKUP('Subcases Monthly'!$D$4,DataLookUp!$A$4:$AVY$70,384,FALSE))</f>
        <v>0</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46</v>
      </c>
      <c r="R48" s="467"/>
    </row>
    <row r="49" spans="1:18" ht="20.100000000000001" customHeight="1" x14ac:dyDescent="0.2">
      <c r="B49" s="190"/>
      <c r="C49" s="476" t="s">
        <v>180</v>
      </c>
      <c r="D49" s="477"/>
      <c r="E49" s="131">
        <v>25</v>
      </c>
      <c r="F49" s="131">
        <v>24</v>
      </c>
      <c r="G49" s="131">
        <v>18</v>
      </c>
      <c r="H49" s="131">
        <f>IF('Subcases Monthly'!$D$4="","",VLOOKUP('Subcases Monthly'!$D$4,DataLookUp!$A$4:$AVY$70,395,FALSE))</f>
        <v>0</v>
      </c>
      <c r="I49" s="131">
        <f>IF('Subcases Monthly'!$D$4="","",VLOOKUP('Subcases Monthly'!$D$4,DataLookUp!$A$4:$AVY$70,396,FALSE))</f>
        <v>0</v>
      </c>
      <c r="J49" s="131">
        <f>IF('Subcases Monthly'!$D$4="","",VLOOKUP('Subcases Monthly'!$D$4,DataLookUp!$A$4:$AVY$70,397,FALSE))</f>
        <v>0</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67</v>
      </c>
      <c r="R49" s="467"/>
    </row>
    <row r="50" spans="1:18" ht="20.100000000000001" customHeight="1" x14ac:dyDescent="0.2">
      <c r="B50" s="190"/>
      <c r="C50" s="476" t="s">
        <v>181</v>
      </c>
      <c r="D50" s="477"/>
      <c r="E50" s="128">
        <v>47</v>
      </c>
      <c r="F50" s="128">
        <v>38</v>
      </c>
      <c r="G50" s="128">
        <v>37</v>
      </c>
      <c r="H50" s="128">
        <f>IF('Subcases Monthly'!$D$4="","",VLOOKUP('Subcases Monthly'!$D$4,DataLookUp!$A$4:$AVY$70,408,FALSE))</f>
        <v>0</v>
      </c>
      <c r="I50" s="128">
        <f>IF('Subcases Monthly'!$D$4="","",VLOOKUP('Subcases Monthly'!$D$4,DataLookUp!$A$4:$AVY$70,409,FALSE))</f>
        <v>0</v>
      </c>
      <c r="J50" s="128">
        <f>IF('Subcases Monthly'!$D$4="","",VLOOKUP('Subcases Monthly'!$D$4,DataLookUp!$A$4:$AVY$70,410,FALSE))</f>
        <v>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122</v>
      </c>
      <c r="R50" s="467"/>
    </row>
    <row r="51" spans="1:18" ht="20.100000000000001" customHeight="1" x14ac:dyDescent="0.2">
      <c r="B51" s="197">
        <v>2</v>
      </c>
      <c r="C51" s="476" t="s">
        <v>391</v>
      </c>
      <c r="D51" s="477"/>
      <c r="E51" s="131">
        <v>0</v>
      </c>
      <c r="F51" s="131">
        <v>0</v>
      </c>
      <c r="G51" s="131">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67"/>
    </row>
    <row r="52" spans="1:18" ht="20.100000000000001" customHeight="1" x14ac:dyDescent="0.2">
      <c r="B52" s="197">
        <v>2</v>
      </c>
      <c r="C52" s="476" t="s">
        <v>404</v>
      </c>
      <c r="D52" s="477"/>
      <c r="E52" s="128">
        <v>0</v>
      </c>
      <c r="F52" s="128">
        <v>2</v>
      </c>
      <c r="G52" s="128">
        <v>0</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67"/>
    </row>
    <row r="53" spans="1:18" ht="20.100000000000001" customHeight="1" x14ac:dyDescent="0.2">
      <c r="B53" s="190"/>
      <c r="C53" s="476" t="s">
        <v>182</v>
      </c>
      <c r="D53" s="477"/>
      <c r="E53" s="131">
        <v>0</v>
      </c>
      <c r="F53" s="131">
        <v>0</v>
      </c>
      <c r="G53" s="131">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67"/>
    </row>
    <row r="54" spans="1:18" ht="20.100000000000001" customHeight="1" x14ac:dyDescent="0.2">
      <c r="B54" s="190"/>
      <c r="C54" s="476" t="s">
        <v>183</v>
      </c>
      <c r="D54" s="477"/>
      <c r="E54" s="128">
        <v>3</v>
      </c>
      <c r="F54" s="128">
        <v>9</v>
      </c>
      <c r="G54" s="128">
        <v>7</v>
      </c>
      <c r="H54" s="128">
        <f>IF('Subcases Monthly'!$D$4="","",VLOOKUP('Subcases Monthly'!$D$4,DataLookUp!$A$4:$AVY$70,460,FALSE))</f>
        <v>0</v>
      </c>
      <c r="I54" s="128">
        <f>IF('Subcases Monthly'!$D$4="","",VLOOKUP('Subcases Monthly'!$D$4,DataLookUp!$A$4:$AVY$70,461,FALSE))</f>
        <v>0</v>
      </c>
      <c r="J54" s="128">
        <f>IF('Subcases Monthly'!$D$4="","",VLOOKUP('Subcases Monthly'!$D$4,DataLookUp!$A$4:$AVY$70,462,FALSE))</f>
        <v>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19</v>
      </c>
      <c r="R54" s="467"/>
    </row>
    <row r="55" spans="1:18" ht="20.100000000000001" customHeight="1" x14ac:dyDescent="0.2">
      <c r="B55" s="190"/>
      <c r="C55" s="476" t="s">
        <v>184</v>
      </c>
      <c r="D55" s="477"/>
      <c r="E55" s="131">
        <v>2</v>
      </c>
      <c r="F55" s="131">
        <v>0</v>
      </c>
      <c r="G55" s="131">
        <v>1</v>
      </c>
      <c r="H55" s="131">
        <f>IF('Subcases Monthly'!$D$4="","",VLOOKUP('Subcases Monthly'!$D$4,DataLookUp!$A$4:$AVY$70,473,FALSE))</f>
        <v>0</v>
      </c>
      <c r="I55" s="131">
        <f>IF('Subcases Monthly'!$D$4="","",VLOOKUP('Subcases Monthly'!$D$4,DataLookUp!$A$4:$AVY$70,474,FALSE))</f>
        <v>0</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3</v>
      </c>
      <c r="R55" s="467"/>
    </row>
    <row r="56" spans="1:18" ht="20.100000000000001" customHeight="1" x14ac:dyDescent="0.2">
      <c r="B56" s="190"/>
      <c r="C56" s="476" t="s">
        <v>185</v>
      </c>
      <c r="D56" s="477"/>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67"/>
    </row>
    <row r="57" spans="1:18" ht="20.100000000000001" customHeight="1" x14ac:dyDescent="0.2">
      <c r="B57" s="190"/>
      <c r="C57" s="476" t="s">
        <v>186</v>
      </c>
      <c r="D57" s="477"/>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67"/>
    </row>
    <row r="58" spans="1:18" ht="20.100000000000001" customHeight="1" x14ac:dyDescent="0.2">
      <c r="B58" s="190"/>
      <c r="C58" s="476" t="s">
        <v>187</v>
      </c>
      <c r="D58" s="477"/>
      <c r="E58" s="128">
        <v>3</v>
      </c>
      <c r="F58" s="128">
        <v>3</v>
      </c>
      <c r="G58" s="128">
        <v>1</v>
      </c>
      <c r="H58" s="128">
        <f>IF('Subcases Monthly'!$D$4="","",VLOOKUP('Subcases Monthly'!$D$4,DataLookUp!$A$4:$AVY$70,512,FALSE))</f>
        <v>0</v>
      </c>
      <c r="I58" s="128">
        <f>IF('Subcases Monthly'!$D$4="","",VLOOKUP('Subcases Monthly'!$D$4,DataLookUp!$A$4:$AVY$70,513,FALSE))</f>
        <v>0</v>
      </c>
      <c r="J58" s="128">
        <f>IF('Subcases Monthly'!$D$4="","",VLOOKUP('Subcases Monthly'!$D$4,DataLookUp!$A$4:$AVY$70,514,FALSE))</f>
        <v>0</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7</v>
      </c>
      <c r="R58" s="467"/>
    </row>
    <row r="59" spans="1:18" ht="20.100000000000001" customHeight="1" thickBot="1" x14ac:dyDescent="0.25">
      <c r="B59" s="199">
        <v>1</v>
      </c>
      <c r="C59" s="472" t="s">
        <v>157</v>
      </c>
      <c r="D59" s="473"/>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68"/>
    </row>
    <row r="60" spans="1:18" s="13" customFormat="1" ht="20.100000000000001" customHeight="1" thickTop="1" thickBot="1" x14ac:dyDescent="0.25">
      <c r="B60" s="192"/>
      <c r="C60" s="474" t="s">
        <v>392</v>
      </c>
      <c r="D60" s="475"/>
      <c r="E60" s="211">
        <f t="shared" ref="E60:P60" si="23">SUM(E39:E59)</f>
        <v>307</v>
      </c>
      <c r="F60" s="212">
        <f t="shared" si="23"/>
        <v>242</v>
      </c>
      <c r="G60" s="212">
        <f t="shared" si="23"/>
        <v>284</v>
      </c>
      <c r="H60" s="212">
        <f t="shared" si="23"/>
        <v>0</v>
      </c>
      <c r="I60" s="212">
        <f t="shared" si="23"/>
        <v>0</v>
      </c>
      <c r="J60" s="212">
        <f t="shared" si="23"/>
        <v>0</v>
      </c>
      <c r="K60" s="212">
        <f t="shared" si="23"/>
        <v>0</v>
      </c>
      <c r="L60" s="212">
        <f t="shared" si="23"/>
        <v>0</v>
      </c>
      <c r="M60" s="212">
        <f t="shared" si="23"/>
        <v>0</v>
      </c>
      <c r="N60" s="212">
        <f t="shared" si="23"/>
        <v>0</v>
      </c>
      <c r="O60" s="212">
        <f t="shared" si="23"/>
        <v>0</v>
      </c>
      <c r="P60" s="261">
        <f t="shared" si="23"/>
        <v>0</v>
      </c>
      <c r="Q60" s="136">
        <f t="shared" si="22"/>
        <v>833</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v>498</v>
      </c>
      <c r="F63" s="143">
        <v>515</v>
      </c>
      <c r="G63" s="143">
        <v>512</v>
      </c>
      <c r="H63" s="143">
        <f>IF('Subcases Monthly'!$D$4="","",VLOOKUP('Subcases Monthly'!$D$4,DataLookUp!$A$4:$AVY$70,551,FALSE))</f>
        <v>0</v>
      </c>
      <c r="I63" s="143">
        <f>IF('Subcases Monthly'!$D$4="","",VLOOKUP('Subcases Monthly'!$D$4,DataLookUp!$A$4:$AVY$70,552,FALSE))</f>
        <v>0</v>
      </c>
      <c r="J63" s="143">
        <f>IF('Subcases Monthly'!$D$4="","",VLOOKUP('Subcases Monthly'!$D$4,DataLookUp!$A$4:$AVY$70,553,FALSE))</f>
        <v>0</v>
      </c>
      <c r="K63" s="143">
        <f>IF('Subcases Monthly'!$D$4="","",VLOOKUP('Subcases Monthly'!$D$4,DataLookUp!$A$4:$AVY$70,554,FALSE))</f>
        <v>0</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1525</v>
      </c>
      <c r="R63" s="466">
        <f>IF('Subcases Monthly'!$D$4="","",VLOOKUP('Subcases Monthly'!$D$4,DataLookUp!$A$4:$AVY$70,1269,FALSE))</f>
        <v>0</v>
      </c>
    </row>
    <row r="64" spans="1:18" ht="20.100000000000001" customHeight="1" x14ac:dyDescent="0.2">
      <c r="B64" s="190"/>
      <c r="C64" s="476" t="s">
        <v>387</v>
      </c>
      <c r="D64" s="477"/>
      <c r="E64" s="142">
        <v>145</v>
      </c>
      <c r="F64" s="142">
        <v>160</v>
      </c>
      <c r="G64" s="142">
        <v>157</v>
      </c>
      <c r="H64" s="142">
        <f>IF('Subcases Monthly'!$D$4="","",VLOOKUP('Subcases Monthly'!$D$4,DataLookUp!$A$4:$AVY$70,564,FALSE))</f>
        <v>0</v>
      </c>
      <c r="I64" s="142">
        <f>IF('Subcases Monthly'!$D$4="","",VLOOKUP('Subcases Monthly'!$D$4,DataLookUp!$A$4:$AVY$70,565,FALSE))</f>
        <v>0</v>
      </c>
      <c r="J64" s="142">
        <f>IF('Subcases Monthly'!$D$4="","",VLOOKUP('Subcases Monthly'!$D$4,DataLookUp!$A$4:$AVY$70,566,FALSE))</f>
        <v>0</v>
      </c>
      <c r="K64" s="142">
        <f>IF('Subcases Monthly'!$D$4="","",VLOOKUP('Subcases Monthly'!$D$4,DataLookUp!$A$4:$AVY$70,567,FALSE))</f>
        <v>0</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462</v>
      </c>
      <c r="R64" s="467"/>
    </row>
    <row r="65" spans="1:18" ht="20.100000000000001" customHeight="1" x14ac:dyDescent="0.2">
      <c r="B65" s="190"/>
      <c r="C65" s="476" t="s">
        <v>386</v>
      </c>
      <c r="D65" s="477"/>
      <c r="E65" s="143">
        <v>151</v>
      </c>
      <c r="F65" s="143">
        <v>142</v>
      </c>
      <c r="G65" s="143">
        <v>150</v>
      </c>
      <c r="H65" s="143">
        <f>IF('Subcases Monthly'!$D$4="","",VLOOKUP('Subcases Monthly'!$D$4,DataLookUp!$A$4:$AVY$70,577,FALSE))</f>
        <v>0</v>
      </c>
      <c r="I65" s="143">
        <f>IF('Subcases Monthly'!$D$4="","",VLOOKUP('Subcases Monthly'!$D$4,DataLookUp!$A$4:$AVY$70,578,FALSE))</f>
        <v>0</v>
      </c>
      <c r="J65" s="143">
        <f>IF('Subcases Monthly'!$D$4="","",VLOOKUP('Subcases Monthly'!$D$4,DataLookUp!$A$4:$AVY$70,579,FALSE))</f>
        <v>0</v>
      </c>
      <c r="K65" s="143">
        <f>IF('Subcases Monthly'!$D$4="","",VLOOKUP('Subcases Monthly'!$D$4,DataLookUp!$A$4:$AVY$70,580,FALSE))</f>
        <v>0</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443</v>
      </c>
      <c r="R65" s="467"/>
    </row>
    <row r="66" spans="1:18" ht="20.100000000000001" customHeight="1" x14ac:dyDescent="0.2">
      <c r="B66" s="190"/>
      <c r="C66" s="476" t="s">
        <v>377</v>
      </c>
      <c r="D66" s="477"/>
      <c r="E66" s="142">
        <v>76</v>
      </c>
      <c r="F66" s="142">
        <v>51</v>
      </c>
      <c r="G66" s="142">
        <v>61</v>
      </c>
      <c r="H66" s="142">
        <f>IF('Subcases Monthly'!$D$4="","",VLOOKUP('Subcases Monthly'!$D$4,DataLookUp!$A$4:$AVY$70,590,FALSE))</f>
        <v>0</v>
      </c>
      <c r="I66" s="142">
        <f>IF('Subcases Monthly'!$D$4="","",VLOOKUP('Subcases Monthly'!$D$4,DataLookUp!$A$4:$AVY$70,591,FALSE))</f>
        <v>0</v>
      </c>
      <c r="J66" s="142">
        <f>IF('Subcases Monthly'!$D$4="","",VLOOKUP('Subcases Monthly'!$D$4,DataLookUp!$A$4:$AVY$70,592,FALSE))</f>
        <v>0</v>
      </c>
      <c r="K66" s="142">
        <f>IF('Subcases Monthly'!$D$4="","",VLOOKUP('Subcases Monthly'!$D$4,DataLookUp!$A$4:$AVY$70,593,FALSE))</f>
        <v>0</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188</v>
      </c>
      <c r="R66" s="467"/>
    </row>
    <row r="67" spans="1:18" ht="20.100000000000001" customHeight="1" x14ac:dyDescent="0.2">
      <c r="B67" s="197">
        <v>4</v>
      </c>
      <c r="C67" s="476" t="s">
        <v>405</v>
      </c>
      <c r="D67" s="477"/>
      <c r="E67" s="143">
        <v>35</v>
      </c>
      <c r="F67" s="143">
        <v>35</v>
      </c>
      <c r="G67" s="143">
        <v>45</v>
      </c>
      <c r="H67" s="143">
        <f>IF('Subcases Monthly'!$D$4="","",VLOOKUP('Subcases Monthly'!$D$4,DataLookUp!$A$4:$AVY$70,603,FALSE))</f>
        <v>0</v>
      </c>
      <c r="I67" s="143">
        <f>IF('Subcases Monthly'!$D$4="","",VLOOKUP('Subcases Monthly'!$D$4,DataLookUp!$A$4:$AVY$70,604,FALSE))</f>
        <v>0</v>
      </c>
      <c r="J67" s="143">
        <f>IF('Subcases Monthly'!$D$4="","",VLOOKUP('Subcases Monthly'!$D$4,DataLookUp!$A$4:$AVY$70,605,FALSE))</f>
        <v>0</v>
      </c>
      <c r="K67" s="143">
        <f>IF('Subcases Monthly'!$D$4="","",VLOOKUP('Subcases Monthly'!$D$4,DataLookUp!$A$4:$AVY$70,606,FALSE))</f>
        <v>0</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115</v>
      </c>
      <c r="R67" s="467"/>
    </row>
    <row r="68" spans="1:18" ht="20.100000000000001" customHeight="1" x14ac:dyDescent="0.2">
      <c r="B68" s="190"/>
      <c r="C68" s="476" t="s">
        <v>189</v>
      </c>
      <c r="D68" s="477"/>
      <c r="E68" s="142">
        <v>5</v>
      </c>
      <c r="F68" s="142">
        <v>3</v>
      </c>
      <c r="G68" s="142">
        <v>4</v>
      </c>
      <c r="H68" s="142">
        <f>IF('Subcases Monthly'!$D$4="","",VLOOKUP('Subcases Monthly'!$D$4,DataLookUp!$A$4:$AVY$70,616,FALSE))</f>
        <v>0</v>
      </c>
      <c r="I68" s="142">
        <f>IF('Subcases Monthly'!$D$4="","",VLOOKUP('Subcases Monthly'!$D$4,DataLookUp!$A$4:$AVY$70,617,FALSE))</f>
        <v>0</v>
      </c>
      <c r="J68" s="142">
        <f>IF('Subcases Monthly'!$D$4="","",VLOOKUP('Subcases Monthly'!$D$4,DataLookUp!$A$4:$AVY$70,618,FALSE))</f>
        <v>0</v>
      </c>
      <c r="K68" s="142">
        <f>IF('Subcases Monthly'!$D$4="","",VLOOKUP('Subcases Monthly'!$D$4,DataLookUp!$A$4:$AVY$70,619,FALSE))</f>
        <v>0</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12</v>
      </c>
      <c r="R68" s="467"/>
    </row>
    <row r="69" spans="1:18" ht="20.100000000000001" customHeight="1" x14ac:dyDescent="0.2">
      <c r="B69" s="190"/>
      <c r="C69" s="476" t="s">
        <v>190</v>
      </c>
      <c r="D69" s="477"/>
      <c r="E69" s="143">
        <v>269</v>
      </c>
      <c r="F69" s="143">
        <v>277</v>
      </c>
      <c r="G69" s="143">
        <v>243</v>
      </c>
      <c r="H69" s="143">
        <f>IF('Subcases Monthly'!$D$4="","",VLOOKUP('Subcases Monthly'!$D$4,DataLookUp!$A$4:$AVY$70,629,FALSE))</f>
        <v>0</v>
      </c>
      <c r="I69" s="143">
        <f>IF('Subcases Monthly'!$D$4="","",VLOOKUP('Subcases Monthly'!$D$4,DataLookUp!$A$4:$AVY$70,630,FALSE))</f>
        <v>0</v>
      </c>
      <c r="J69" s="143">
        <f>IF('Subcases Monthly'!$D$4="","",VLOOKUP('Subcases Monthly'!$D$4,DataLookUp!$A$4:$AVY$70,631,FALSE))</f>
        <v>0</v>
      </c>
      <c r="K69" s="143">
        <f>IF('Subcases Monthly'!$D$4="","",VLOOKUP('Subcases Monthly'!$D$4,DataLookUp!$A$4:$AVY$70,632,FALSE))</f>
        <v>0</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789</v>
      </c>
      <c r="R69" s="467"/>
    </row>
    <row r="70" spans="1:18" ht="20.100000000000001" customHeight="1" x14ac:dyDescent="0.2">
      <c r="B70" s="190"/>
      <c r="C70" s="476" t="s">
        <v>191</v>
      </c>
      <c r="D70" s="477"/>
      <c r="E70" s="142">
        <v>3</v>
      </c>
      <c r="F70" s="142">
        <v>5</v>
      </c>
      <c r="G70" s="142">
        <v>1</v>
      </c>
      <c r="H70" s="142">
        <f>IF('Subcases Monthly'!$D$4="","",VLOOKUP('Subcases Monthly'!$D$4,DataLookUp!$A$4:$AVY$70,642,FALSE))</f>
        <v>0</v>
      </c>
      <c r="I70" s="142">
        <f>IF('Subcases Monthly'!$D$4="","",VLOOKUP('Subcases Monthly'!$D$4,DataLookUp!$A$4:$AVY$70,643,FALSE))</f>
        <v>0</v>
      </c>
      <c r="J70" s="142">
        <f>IF('Subcases Monthly'!$D$4="","",VLOOKUP('Subcases Monthly'!$D$4,DataLookUp!$A$4:$AVY$70,644,FALSE))</f>
        <v>0</v>
      </c>
      <c r="K70" s="142">
        <f>IF('Subcases Monthly'!$D$4="","",VLOOKUP('Subcases Monthly'!$D$4,DataLookUp!$A$4:$AVY$70,645,FALSE))</f>
        <v>0</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9</v>
      </c>
      <c r="R70" s="467"/>
    </row>
    <row r="71" spans="1:18" ht="20.100000000000001" customHeight="1" x14ac:dyDescent="0.2">
      <c r="B71" s="190"/>
      <c r="C71" s="476" t="s">
        <v>187</v>
      </c>
      <c r="D71" s="477"/>
      <c r="E71" s="143">
        <v>1</v>
      </c>
      <c r="F71" s="143">
        <v>0</v>
      </c>
      <c r="G71" s="143">
        <v>0</v>
      </c>
      <c r="H71" s="143">
        <f>IF('Subcases Monthly'!$D$4="","",VLOOKUP('Subcases Monthly'!$D$4,DataLookUp!$A$4:$AVY$70,655,FALSE))</f>
        <v>0</v>
      </c>
      <c r="I71" s="143">
        <f>IF('Subcases Monthly'!$D$4="","",VLOOKUP('Subcases Monthly'!$D$4,DataLookUp!$A$4:$AVY$70,656,FALSE))</f>
        <v>0</v>
      </c>
      <c r="J71" s="143">
        <f>IF('Subcases Monthly'!$D$4="","",VLOOKUP('Subcases Monthly'!$D$4,DataLookUp!$A$4:$AVY$70,657,FALSE))</f>
        <v>0</v>
      </c>
      <c r="K71" s="143">
        <f>IF('Subcases Monthly'!$D$4="","",VLOOKUP('Subcases Monthly'!$D$4,DataLookUp!$A$4:$AVY$70,658,FALSE))</f>
        <v>0</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1</v>
      </c>
      <c r="R71" s="467"/>
    </row>
    <row r="72" spans="1:18" ht="20.100000000000001" customHeight="1" x14ac:dyDescent="0.2">
      <c r="B72" s="190"/>
      <c r="C72" s="476" t="s">
        <v>192</v>
      </c>
      <c r="D72" s="477"/>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67"/>
    </row>
    <row r="73" spans="1:18" ht="20.100000000000001" customHeight="1" thickBot="1" x14ac:dyDescent="0.25">
      <c r="B73" s="199">
        <v>1</v>
      </c>
      <c r="C73" s="472" t="s">
        <v>157</v>
      </c>
      <c r="D73" s="473"/>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68"/>
    </row>
    <row r="74" spans="1:18" s="13" customFormat="1" ht="20.100000000000001" customHeight="1" thickTop="1" thickBot="1" x14ac:dyDescent="0.25">
      <c r="B74" s="192"/>
      <c r="C74" s="474" t="s">
        <v>393</v>
      </c>
      <c r="D74" s="475"/>
      <c r="E74" s="211">
        <f t="shared" ref="E74:P74" si="26">SUM(E63:E73)</f>
        <v>1183</v>
      </c>
      <c r="F74" s="212">
        <f t="shared" si="26"/>
        <v>1188</v>
      </c>
      <c r="G74" s="212">
        <f t="shared" si="26"/>
        <v>1173</v>
      </c>
      <c r="H74" s="212">
        <f t="shared" si="26"/>
        <v>0</v>
      </c>
      <c r="I74" s="212">
        <f t="shared" si="26"/>
        <v>0</v>
      </c>
      <c r="J74" s="212">
        <f t="shared" si="26"/>
        <v>0</v>
      </c>
      <c r="K74" s="212">
        <f t="shared" si="26"/>
        <v>0</v>
      </c>
      <c r="L74" s="212">
        <f t="shared" si="26"/>
        <v>0</v>
      </c>
      <c r="M74" s="212">
        <f t="shared" si="26"/>
        <v>0</v>
      </c>
      <c r="N74" s="212">
        <f t="shared" si="26"/>
        <v>0</v>
      </c>
      <c r="O74" s="212">
        <f t="shared" si="26"/>
        <v>0</v>
      </c>
      <c r="P74" s="261">
        <f t="shared" si="26"/>
        <v>0</v>
      </c>
      <c r="Q74" s="136">
        <f t="shared" ref="Q74" si="27">SUM(E74:P74)</f>
        <v>3544</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v>181</v>
      </c>
      <c r="F77" s="131">
        <v>176</v>
      </c>
      <c r="G77" s="131">
        <v>172</v>
      </c>
      <c r="H77" s="131">
        <f>IF('Subcases Monthly'!$D$4="","",VLOOKUP('Subcases Monthly'!$D$4,DataLookUp!$A$4:$AVY$70,707,FALSE))</f>
        <v>0</v>
      </c>
      <c r="I77" s="131">
        <f>IF('Subcases Monthly'!$D$4="","",VLOOKUP('Subcases Monthly'!$D$4,DataLookUp!$A$4:$AVY$70,708,FALSE))</f>
        <v>0</v>
      </c>
      <c r="J77" s="131">
        <f>IF('Subcases Monthly'!$D$4="","",VLOOKUP('Subcases Monthly'!$D$4,DataLookUp!$A$4:$AVY$70,709,FALSE))</f>
        <v>0</v>
      </c>
      <c r="K77" s="131">
        <f>IF('Subcases Monthly'!$D$4="","",VLOOKUP('Subcases Monthly'!$D$4,DataLookUp!$A$4:$AVY$70,710,FALSE))</f>
        <v>0</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529</v>
      </c>
      <c r="R77" s="463">
        <f>IF('Subcases Monthly'!$D$4="","",VLOOKUP('Subcases Monthly'!$D$4,DataLookUp!$A$4:$AVY$70,1270,FALSE))</f>
        <v>0</v>
      </c>
    </row>
    <row r="78" spans="1:18" ht="20.100000000000001" customHeight="1" x14ac:dyDescent="0.2">
      <c r="B78" s="190"/>
      <c r="C78" s="476" t="s">
        <v>194</v>
      </c>
      <c r="D78" s="477"/>
      <c r="E78" s="127">
        <v>42</v>
      </c>
      <c r="F78" s="128">
        <v>20</v>
      </c>
      <c r="G78" s="128">
        <v>18</v>
      </c>
      <c r="H78" s="128">
        <f>IF('Subcases Monthly'!$D$4="","",VLOOKUP('Subcases Monthly'!$D$4,DataLookUp!$A$4:$AVY$70,720,FALSE))</f>
        <v>0</v>
      </c>
      <c r="I78" s="128">
        <f>IF('Subcases Monthly'!$D$4="","",VLOOKUP('Subcases Monthly'!$D$4,DataLookUp!$A$4:$AVY$70,721,FALSE))</f>
        <v>0</v>
      </c>
      <c r="J78" s="128">
        <f>IF('Subcases Monthly'!$D$4="","",VLOOKUP('Subcases Monthly'!$D$4,DataLookUp!$A$4:$AVY$70,722,FALSE))</f>
        <v>0</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80</v>
      </c>
      <c r="R78" s="464"/>
    </row>
    <row r="79" spans="1:18" ht="20.100000000000001" customHeight="1" x14ac:dyDescent="0.2">
      <c r="B79" s="190"/>
      <c r="C79" s="476" t="s">
        <v>195</v>
      </c>
      <c r="D79" s="477"/>
      <c r="E79" s="130">
        <v>1</v>
      </c>
      <c r="F79" s="131">
        <v>1</v>
      </c>
      <c r="G79" s="131">
        <v>1</v>
      </c>
      <c r="H79" s="131">
        <f>IF('Subcases Monthly'!$D$4="","",VLOOKUP('Subcases Monthly'!$D$4,DataLookUp!$A$4:$AVY$70,733,FALSE))</f>
        <v>0</v>
      </c>
      <c r="I79" s="131">
        <f>IF('Subcases Monthly'!$D$4="","",VLOOKUP('Subcases Monthly'!$D$4,DataLookUp!$A$4:$AVY$70,734,FALSE))</f>
        <v>0</v>
      </c>
      <c r="J79" s="131">
        <f>IF('Subcases Monthly'!$D$4="","",VLOOKUP('Subcases Monthly'!$D$4,DataLookUp!$A$4:$AVY$70,735,FALSE))</f>
        <v>0</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3</v>
      </c>
      <c r="R79" s="464"/>
    </row>
    <row r="80" spans="1:18" ht="20.100000000000001" customHeight="1" x14ac:dyDescent="0.2">
      <c r="B80" s="190"/>
      <c r="C80" s="476" t="s">
        <v>196</v>
      </c>
      <c r="D80" s="477"/>
      <c r="E80" s="127">
        <v>42</v>
      </c>
      <c r="F80" s="128">
        <v>45</v>
      </c>
      <c r="G80" s="128">
        <v>55</v>
      </c>
      <c r="H80" s="128">
        <f>IF('Subcases Monthly'!$D$4="","",VLOOKUP('Subcases Monthly'!$D$4,DataLookUp!$A$4:$AVY$70,746,FALSE))</f>
        <v>0</v>
      </c>
      <c r="I80" s="128">
        <f>IF('Subcases Monthly'!$D$4="","",VLOOKUP('Subcases Monthly'!$D$4,DataLookUp!$A$4:$AVY$70,747,FALSE))</f>
        <v>0</v>
      </c>
      <c r="J80" s="128">
        <f>IF('Subcases Monthly'!$D$4="","",VLOOKUP('Subcases Monthly'!$D$4,DataLookUp!$A$4:$AVY$70,748,FALSE))</f>
        <v>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142</v>
      </c>
      <c r="R80" s="464"/>
    </row>
    <row r="81" spans="1:18" ht="20.100000000000001" customHeight="1" x14ac:dyDescent="0.2">
      <c r="B81" s="190"/>
      <c r="C81" s="476" t="s">
        <v>197</v>
      </c>
      <c r="D81" s="477"/>
      <c r="E81" s="130">
        <v>16</v>
      </c>
      <c r="F81" s="131">
        <v>20</v>
      </c>
      <c r="G81" s="131">
        <v>16</v>
      </c>
      <c r="H81" s="131">
        <f>IF('Subcases Monthly'!$D$4="","",VLOOKUP('Subcases Monthly'!$D$4,DataLookUp!$A$4:$AVY$70,759,FALSE))</f>
        <v>0</v>
      </c>
      <c r="I81" s="131">
        <f>IF('Subcases Monthly'!$D$4="","",VLOOKUP('Subcases Monthly'!$D$4,DataLookUp!$A$4:$AVY$70,760,FALSE))</f>
        <v>0</v>
      </c>
      <c r="J81" s="131">
        <f>IF('Subcases Monthly'!$D$4="","",VLOOKUP('Subcases Monthly'!$D$4,DataLookUp!$A$4:$AVY$70,761,FALSE))</f>
        <v>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52</v>
      </c>
      <c r="R81" s="464"/>
    </row>
    <row r="82" spans="1:18" ht="20.100000000000001" customHeight="1" x14ac:dyDescent="0.2">
      <c r="B82" s="190"/>
      <c r="C82" s="476" t="s">
        <v>198</v>
      </c>
      <c r="D82" s="477"/>
      <c r="E82" s="127">
        <v>22</v>
      </c>
      <c r="F82" s="128">
        <v>9</v>
      </c>
      <c r="G82" s="128">
        <v>11</v>
      </c>
      <c r="H82" s="128">
        <f>IF('Subcases Monthly'!$D$4="","",VLOOKUP('Subcases Monthly'!$D$4,DataLookUp!$A$4:$AVY$70,772,FALSE))</f>
        <v>0</v>
      </c>
      <c r="I82" s="128">
        <f>IF('Subcases Monthly'!$D$4="","",VLOOKUP('Subcases Monthly'!$D$4,DataLookUp!$A$4:$AVY$70,773,FALSE))</f>
        <v>0</v>
      </c>
      <c r="J82" s="128">
        <f>IF('Subcases Monthly'!$D$4="","",VLOOKUP('Subcases Monthly'!$D$4,DataLookUp!$A$4:$AVY$70,774,FALSE))</f>
        <v>0</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42</v>
      </c>
      <c r="R82" s="464"/>
    </row>
    <row r="83" spans="1:18" ht="20.100000000000001" customHeight="1" x14ac:dyDescent="0.2">
      <c r="B83" s="197">
        <v>2</v>
      </c>
      <c r="C83" s="476" t="s">
        <v>391</v>
      </c>
      <c r="D83" s="477"/>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64"/>
    </row>
    <row r="84" spans="1:18" ht="20.100000000000001" customHeight="1" x14ac:dyDescent="0.2">
      <c r="B84" s="190"/>
      <c r="C84" s="476" t="s">
        <v>300</v>
      </c>
      <c r="D84" s="477"/>
      <c r="E84" s="127">
        <v>3</v>
      </c>
      <c r="F84" s="128">
        <v>9</v>
      </c>
      <c r="G84" s="128">
        <v>2</v>
      </c>
      <c r="H84" s="128">
        <f>IF('Subcases Monthly'!$D$4="","",VLOOKUP('Subcases Monthly'!$D$4,DataLookUp!$A$4:$AVY$70,798,FALSE))</f>
        <v>0</v>
      </c>
      <c r="I84" s="128">
        <f>IF('Subcases Monthly'!$D$4="","",VLOOKUP('Subcases Monthly'!$D$4,DataLookUp!$A$4:$AVY$70,799,FALSE))</f>
        <v>0</v>
      </c>
      <c r="J84" s="128">
        <f>IF('Subcases Monthly'!$D$4="","",VLOOKUP('Subcases Monthly'!$D$4,DataLookUp!$A$4:$AVY$70,800,FALSE))</f>
        <v>0</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14</v>
      </c>
      <c r="R84" s="464"/>
    </row>
    <row r="85" spans="1:18" ht="20.100000000000001" customHeight="1" x14ac:dyDescent="0.2">
      <c r="B85" s="190"/>
      <c r="C85" s="476" t="s">
        <v>199</v>
      </c>
      <c r="D85" s="477"/>
      <c r="E85" s="130">
        <v>133</v>
      </c>
      <c r="F85" s="131">
        <v>136</v>
      </c>
      <c r="G85" s="131">
        <v>106</v>
      </c>
      <c r="H85" s="131">
        <f>IF('Subcases Monthly'!$D$4="","",VLOOKUP('Subcases Monthly'!$D$4,DataLookUp!$A$4:$AVY$70,811,FALSE))</f>
        <v>0</v>
      </c>
      <c r="I85" s="131">
        <f>IF('Subcases Monthly'!$D$4="","",VLOOKUP('Subcases Monthly'!$D$4,DataLookUp!$A$4:$AVY$70,812,FALSE))</f>
        <v>0</v>
      </c>
      <c r="J85" s="131">
        <f>IF('Subcases Monthly'!$D$4="","",VLOOKUP('Subcases Monthly'!$D$4,DataLookUp!$A$4:$AVY$70,813,FALSE))</f>
        <v>0</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375</v>
      </c>
      <c r="R85" s="464"/>
    </row>
    <row r="86" spans="1:18" ht="20.100000000000001" customHeight="1" x14ac:dyDescent="0.2">
      <c r="B86" s="190"/>
      <c r="C86" s="476" t="s">
        <v>200</v>
      </c>
      <c r="D86" s="477"/>
      <c r="E86" s="127">
        <v>124</v>
      </c>
      <c r="F86" s="128">
        <v>128</v>
      </c>
      <c r="G86" s="128">
        <v>145</v>
      </c>
      <c r="H86" s="128">
        <f>IF('Subcases Monthly'!$D$4="","",VLOOKUP('Subcases Monthly'!$D$4,DataLookUp!$A$4:$AVY$70,824,FALSE))</f>
        <v>0</v>
      </c>
      <c r="I86" s="128">
        <f>IF('Subcases Monthly'!$D$4="","",VLOOKUP('Subcases Monthly'!$D$4,DataLookUp!$A$4:$AVY$70,825,FALSE))</f>
        <v>0</v>
      </c>
      <c r="J86" s="128">
        <f>IF('Subcases Monthly'!$D$4="","",VLOOKUP('Subcases Monthly'!$D$4,DataLookUp!$A$4:$AVY$70,826,FALSE))</f>
        <v>0</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397</v>
      </c>
      <c r="R86" s="464"/>
    </row>
    <row r="87" spans="1:18" ht="20.100000000000001" customHeight="1" x14ac:dyDescent="0.2">
      <c r="B87" s="190"/>
      <c r="C87" s="476" t="s">
        <v>201</v>
      </c>
      <c r="D87" s="477"/>
      <c r="E87" s="130">
        <v>35</v>
      </c>
      <c r="F87" s="131">
        <v>38</v>
      </c>
      <c r="G87" s="131">
        <v>31</v>
      </c>
      <c r="H87" s="131">
        <f>IF('Subcases Monthly'!$D$4="","",VLOOKUP('Subcases Monthly'!$D$4,DataLookUp!$A$4:$AVY$70,837,FALSE))</f>
        <v>0</v>
      </c>
      <c r="I87" s="131">
        <f>IF('Subcases Monthly'!$D$4="","",VLOOKUP('Subcases Monthly'!$D$4,DataLookUp!$A$4:$AVY$70,838,FALSE))</f>
        <v>0</v>
      </c>
      <c r="J87" s="131">
        <f>IF('Subcases Monthly'!$D$4="","",VLOOKUP('Subcases Monthly'!$D$4,DataLookUp!$A$4:$AVY$70,839,FALSE))</f>
        <v>0</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104</v>
      </c>
      <c r="R87" s="464"/>
    </row>
    <row r="88" spans="1:18" ht="20.100000000000001" customHeight="1" x14ac:dyDescent="0.2">
      <c r="B88" s="190"/>
      <c r="C88" s="476" t="s">
        <v>202</v>
      </c>
      <c r="D88" s="477"/>
      <c r="E88" s="127">
        <f>IF('Subcases Monthly'!$D$4="","",VLOOKUP('Subcases Monthly'!$D$4,DataLookUp!$A$4:$AVY$70,847,FALSE))</f>
        <v>0</v>
      </c>
      <c r="F88" s="128">
        <v>1</v>
      </c>
      <c r="G88" s="128">
        <v>1</v>
      </c>
      <c r="H88" s="128">
        <f>IF('Subcases Monthly'!$D$4="","",VLOOKUP('Subcases Monthly'!$D$4,DataLookUp!$A$4:$AVY$70,850,FALSE))</f>
        <v>0</v>
      </c>
      <c r="I88" s="128">
        <f>IF('Subcases Monthly'!$D$4="","",VLOOKUP('Subcases Monthly'!$D$4,DataLookUp!$A$4:$AVY$70,851,FALSE))</f>
        <v>0</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2</v>
      </c>
      <c r="R88" s="464"/>
    </row>
    <row r="89" spans="1:18" ht="20.100000000000001" customHeight="1" x14ac:dyDescent="0.2">
      <c r="B89" s="190"/>
      <c r="C89" s="476" t="s">
        <v>203</v>
      </c>
      <c r="D89" s="477"/>
      <c r="E89" s="130">
        <v>6</v>
      </c>
      <c r="F89" s="131">
        <v>7</v>
      </c>
      <c r="G89" s="131">
        <v>2</v>
      </c>
      <c r="H89" s="131">
        <f>IF('Subcases Monthly'!$D$4="","",VLOOKUP('Subcases Monthly'!$D$4,DataLookUp!$A$4:$AVY$70,863,FALSE))</f>
        <v>0</v>
      </c>
      <c r="I89" s="131">
        <f>IF('Subcases Monthly'!$D$4="","",VLOOKUP('Subcases Monthly'!$D$4,DataLookUp!$A$4:$AVY$70,864,FALSE))</f>
        <v>0</v>
      </c>
      <c r="J89" s="131">
        <f>IF('Subcases Monthly'!$D$4="","",VLOOKUP('Subcases Monthly'!$D$4,DataLookUp!$A$4:$AVY$70,865,FALSE))</f>
        <v>0</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15</v>
      </c>
      <c r="R89" s="464"/>
    </row>
    <row r="90" spans="1:18" ht="20.100000000000001" customHeight="1" x14ac:dyDescent="0.2">
      <c r="B90" s="190"/>
      <c r="C90" s="476" t="s">
        <v>204</v>
      </c>
      <c r="D90" s="477"/>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64"/>
    </row>
    <row r="91" spans="1:18" ht="20.100000000000001" customHeight="1" x14ac:dyDescent="0.2">
      <c r="B91" s="190"/>
      <c r="C91" s="476" t="s">
        <v>205</v>
      </c>
      <c r="D91" s="477"/>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64"/>
    </row>
    <row r="92" spans="1:18" ht="20.100000000000001" customHeight="1" x14ac:dyDescent="0.2">
      <c r="B92" s="190"/>
      <c r="C92" s="476" t="s">
        <v>388</v>
      </c>
      <c r="D92" s="477"/>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f>IF('Subcases Monthly'!$D$4="","",VLOOKUP('Subcases Monthly'!$D$4,DataLookUp!$A$4:$AVY$70,904,FALSE))</f>
        <v>0</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1</v>
      </c>
      <c r="R92" s="464"/>
    </row>
    <row r="93" spans="1:18" ht="20.100000000000001" customHeight="1" thickBot="1" x14ac:dyDescent="0.25">
      <c r="B93" s="199">
        <v>1</v>
      </c>
      <c r="C93" s="472" t="s">
        <v>157</v>
      </c>
      <c r="D93" s="473"/>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65"/>
    </row>
    <row r="94" spans="1:18" s="13" customFormat="1" ht="20.100000000000001" customHeight="1" thickTop="1" thickBot="1" x14ac:dyDescent="0.25">
      <c r="B94" s="192"/>
      <c r="C94" s="474" t="s">
        <v>394</v>
      </c>
      <c r="D94" s="475"/>
      <c r="E94" s="211">
        <f t="shared" ref="E94:P94" si="40">SUM(E77:E93)</f>
        <v>605</v>
      </c>
      <c r="F94" s="212">
        <f t="shared" si="40"/>
        <v>591</v>
      </c>
      <c r="G94" s="212">
        <f t="shared" si="40"/>
        <v>560</v>
      </c>
      <c r="H94" s="212">
        <f t="shared" si="40"/>
        <v>0</v>
      </c>
      <c r="I94" s="212">
        <f t="shared" si="40"/>
        <v>0</v>
      </c>
      <c r="J94" s="212">
        <f t="shared" si="40"/>
        <v>0</v>
      </c>
      <c r="K94" s="212">
        <f t="shared" si="40"/>
        <v>0</v>
      </c>
      <c r="L94" s="212">
        <f t="shared" si="40"/>
        <v>0</v>
      </c>
      <c r="M94" s="212">
        <f t="shared" si="40"/>
        <v>0</v>
      </c>
      <c r="N94" s="212">
        <f t="shared" si="40"/>
        <v>0</v>
      </c>
      <c r="O94" s="212">
        <f t="shared" si="40"/>
        <v>0</v>
      </c>
      <c r="P94" s="213">
        <f t="shared" si="40"/>
        <v>0</v>
      </c>
      <c r="Q94" s="140">
        <f t="shared" si="39"/>
        <v>1756</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v>23</v>
      </c>
      <c r="F97" s="125">
        <v>21</v>
      </c>
      <c r="G97" s="125">
        <v>18</v>
      </c>
      <c r="H97" s="125">
        <f>IF('Subcases Monthly'!$D$4="","",VLOOKUP('Subcases Monthly'!$D$4,DataLookUp!$A$4:$AVY$70,941,FALSE))</f>
        <v>0</v>
      </c>
      <c r="I97" s="125">
        <f>IF('Subcases Monthly'!$D$4="","",VLOOKUP('Subcases Monthly'!$D$4,DataLookUp!$A$4:$AVY$70,942,FALSE))</f>
        <v>0</v>
      </c>
      <c r="J97" s="125">
        <f>IF('Subcases Monthly'!$D$4="","",VLOOKUP('Subcases Monthly'!$D$4,DataLookUp!$A$4:$AVY$70,943,FALSE))</f>
        <v>0</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62</v>
      </c>
      <c r="R97" s="463">
        <f>IF('Subcases Monthly'!$D$4="","",VLOOKUP('Subcases Monthly'!$D$4,DataLookUp!$A$4:$AVY$70,1271,FALSE))</f>
        <v>0</v>
      </c>
    </row>
    <row r="98" spans="1:18" ht="20.100000000000001" customHeight="1" x14ac:dyDescent="0.2">
      <c r="A98" s="8"/>
      <c r="B98" s="190"/>
      <c r="C98" s="476" t="s">
        <v>207</v>
      </c>
      <c r="D98" s="477"/>
      <c r="E98" s="127">
        <v>156</v>
      </c>
      <c r="F98" s="128">
        <v>131</v>
      </c>
      <c r="G98" s="128">
        <v>120</v>
      </c>
      <c r="H98" s="128">
        <f>IF('Subcases Monthly'!$D$4="","",VLOOKUP('Subcases Monthly'!$D$4,DataLookUp!$A$4:$AVY$70,954,FALSE))</f>
        <v>0</v>
      </c>
      <c r="I98" s="128">
        <f>IF('Subcases Monthly'!$D$4="","",VLOOKUP('Subcases Monthly'!$D$4,DataLookUp!$A$4:$AVY$70,955,FALSE))</f>
        <v>0</v>
      </c>
      <c r="J98" s="128">
        <f>IF('Subcases Monthly'!$D$4="","",VLOOKUP('Subcases Monthly'!$D$4,DataLookUp!$A$4:$AVY$70,956,FALSE))</f>
        <v>0</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407</v>
      </c>
      <c r="R98" s="464"/>
    </row>
    <row r="99" spans="1:18" ht="20.100000000000001" customHeight="1" x14ac:dyDescent="0.2">
      <c r="A99" s="8"/>
      <c r="B99" s="190"/>
      <c r="C99" s="476" t="s">
        <v>208</v>
      </c>
      <c r="D99" s="477"/>
      <c r="E99" s="130">
        <v>175</v>
      </c>
      <c r="F99" s="131">
        <v>146</v>
      </c>
      <c r="G99" s="131">
        <v>136</v>
      </c>
      <c r="H99" s="131">
        <f>IF('Subcases Monthly'!$D$4="","",VLOOKUP('Subcases Monthly'!$D$4,DataLookUp!$A$4:$AVY$70,967,FALSE))</f>
        <v>0</v>
      </c>
      <c r="I99" s="131">
        <f>IF('Subcases Monthly'!$D$4="","",VLOOKUP('Subcases Monthly'!$D$4,DataLookUp!$A$4:$AVY$70,968,FALSE))</f>
        <v>0</v>
      </c>
      <c r="J99" s="131">
        <f>IF('Subcases Monthly'!$D$4="","",VLOOKUP('Subcases Monthly'!$D$4,DataLookUp!$A$4:$AVY$70,969,FALSE))</f>
        <v>0</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457</v>
      </c>
      <c r="R99" s="464"/>
    </row>
    <row r="100" spans="1:18" ht="20.100000000000001" customHeight="1" x14ac:dyDescent="0.2">
      <c r="A100" s="8"/>
      <c r="B100" s="190"/>
      <c r="C100" s="476" t="s">
        <v>209</v>
      </c>
      <c r="D100" s="477"/>
      <c r="E100" s="127">
        <v>11</v>
      </c>
      <c r="F100" s="128">
        <v>9</v>
      </c>
      <c r="G100" s="128">
        <v>8</v>
      </c>
      <c r="H100" s="128">
        <f>IF('Subcases Monthly'!$D$4="","",VLOOKUP('Subcases Monthly'!$D$4,DataLookUp!$A$4:$AVY$70,980,FALSE))</f>
        <v>0</v>
      </c>
      <c r="I100" s="128">
        <f>IF('Subcases Monthly'!$D$4="","",VLOOKUP('Subcases Monthly'!$D$4,DataLookUp!$A$4:$AVY$70,981,FALSE))</f>
        <v>0</v>
      </c>
      <c r="J100" s="128">
        <f>IF('Subcases Monthly'!$D$4="","",VLOOKUP('Subcases Monthly'!$D$4,DataLookUp!$A$4:$AVY$70,982,FALSE))</f>
        <v>0</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28</v>
      </c>
      <c r="R100" s="464"/>
    </row>
    <row r="101" spans="1:18" ht="20.100000000000001" customHeight="1" x14ac:dyDescent="0.2">
      <c r="A101" s="8"/>
      <c r="B101" s="190"/>
      <c r="C101" s="476" t="s">
        <v>210</v>
      </c>
      <c r="D101" s="477"/>
      <c r="E101" s="130">
        <v>1</v>
      </c>
      <c r="F101" s="131">
        <v>1</v>
      </c>
      <c r="G101" s="131">
        <v>1</v>
      </c>
      <c r="H101" s="131">
        <f>IF('Subcases Monthly'!$D$4="","",VLOOKUP('Subcases Monthly'!$D$4,DataLookUp!$A$4:$AVY$70,993,FALSE))</f>
        <v>0</v>
      </c>
      <c r="I101" s="131">
        <f>IF('Subcases Monthly'!$D$4="","",VLOOKUP('Subcases Monthly'!$D$4,DataLookUp!$A$4:$AVY$70,994,FALSE))</f>
        <v>0</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3</v>
      </c>
      <c r="R101" s="464"/>
    </row>
    <row r="102" spans="1:18" ht="20.100000000000001" customHeight="1" x14ac:dyDescent="0.2">
      <c r="A102" s="8"/>
      <c r="B102" s="190"/>
      <c r="C102" s="476" t="s">
        <v>211</v>
      </c>
      <c r="D102" s="477"/>
      <c r="E102" s="127">
        <v>15</v>
      </c>
      <c r="F102" s="128">
        <v>12</v>
      </c>
      <c r="G102" s="128">
        <v>11</v>
      </c>
      <c r="H102" s="128">
        <f>IF('Subcases Monthly'!$D$4="","",VLOOKUP('Subcases Monthly'!$D$4,DataLookUp!$A$4:$AVY$70,1006,FALSE))</f>
        <v>0</v>
      </c>
      <c r="I102" s="128">
        <f>IF('Subcases Monthly'!$D$4="","",VLOOKUP('Subcases Monthly'!$D$4,DataLookUp!$A$4:$AVY$70,1007,FALSE))</f>
        <v>0</v>
      </c>
      <c r="J102" s="128">
        <f>IF('Subcases Monthly'!$D$4="","",VLOOKUP('Subcases Monthly'!$D$4,DataLookUp!$A$4:$AVY$70,1008,FALSE))</f>
        <v>0</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38</v>
      </c>
      <c r="R102" s="464"/>
    </row>
    <row r="103" spans="1:18" ht="20.100000000000001" customHeight="1" x14ac:dyDescent="0.2">
      <c r="A103" s="8"/>
      <c r="B103" s="190"/>
      <c r="C103" s="476" t="s">
        <v>212</v>
      </c>
      <c r="D103" s="477"/>
      <c r="E103" s="130">
        <v>15</v>
      </c>
      <c r="F103" s="131">
        <v>22</v>
      </c>
      <c r="G103" s="131">
        <v>12</v>
      </c>
      <c r="H103" s="131">
        <f>IF('Subcases Monthly'!$D$4="","",VLOOKUP('Subcases Monthly'!$D$4,DataLookUp!$A$4:$AVY$70,1019,FALSE))</f>
        <v>0</v>
      </c>
      <c r="I103" s="131">
        <f>IF('Subcases Monthly'!$D$4="","",VLOOKUP('Subcases Monthly'!$D$4,DataLookUp!$A$4:$AVY$70,1020,FALSE))</f>
        <v>0</v>
      </c>
      <c r="J103" s="131">
        <f>IF('Subcases Monthly'!$D$4="","",VLOOKUP('Subcases Monthly'!$D$4,DataLookUp!$A$4:$AVY$70,1021,FALSE))</f>
        <v>0</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49</v>
      </c>
      <c r="R103" s="464"/>
    </row>
    <row r="104" spans="1:18" ht="20.100000000000001" customHeight="1" x14ac:dyDescent="0.2">
      <c r="A104" s="8"/>
      <c r="B104" s="190"/>
      <c r="C104" s="476" t="s">
        <v>213</v>
      </c>
      <c r="D104" s="477"/>
      <c r="E104" s="127">
        <v>20</v>
      </c>
      <c r="F104" s="128">
        <v>19</v>
      </c>
      <c r="G104" s="128">
        <v>19</v>
      </c>
      <c r="H104" s="128">
        <f>IF('Subcases Monthly'!$D$4="","",VLOOKUP('Subcases Monthly'!$D$4,DataLookUp!$A$4:$AVY$70,1032,FALSE))</f>
        <v>0</v>
      </c>
      <c r="I104" s="128">
        <f>IF('Subcases Monthly'!$D$4="","",VLOOKUP('Subcases Monthly'!$D$4,DataLookUp!$A$4:$AVY$70,1033,FALSE))</f>
        <v>0</v>
      </c>
      <c r="J104" s="128">
        <f>IF('Subcases Monthly'!$D$4="","",VLOOKUP('Subcases Monthly'!$D$4,DataLookUp!$A$4:$AVY$70,1034,FALSE))</f>
        <v>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58</v>
      </c>
      <c r="R104" s="464"/>
    </row>
    <row r="105" spans="1:18" ht="20.100000000000001" customHeight="1" x14ac:dyDescent="0.2">
      <c r="A105" s="8"/>
      <c r="B105" s="190"/>
      <c r="C105" s="476" t="s">
        <v>214</v>
      </c>
      <c r="D105" s="477"/>
      <c r="E105" s="130">
        <v>21</v>
      </c>
      <c r="F105" s="131">
        <v>18</v>
      </c>
      <c r="G105" s="131">
        <v>32</v>
      </c>
      <c r="H105" s="131">
        <f>IF('Subcases Monthly'!$D$4="","",VLOOKUP('Subcases Monthly'!$D$4,DataLookUp!$A$4:$AVY$70,1045,FALSE))</f>
        <v>0</v>
      </c>
      <c r="I105" s="131">
        <f>IF('Subcases Monthly'!$D$4="","",VLOOKUP('Subcases Monthly'!$D$4,DataLookUp!$A$4:$AVY$70,1046,FALSE))</f>
        <v>0</v>
      </c>
      <c r="J105" s="131">
        <f>IF('Subcases Monthly'!$D$4="","",VLOOKUP('Subcases Monthly'!$D$4,DataLookUp!$A$4:$AVY$70,1047,FALSE))</f>
        <v>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71</v>
      </c>
      <c r="R105" s="464"/>
    </row>
    <row r="106" spans="1:18" ht="20.100000000000001" customHeight="1" x14ac:dyDescent="0.2">
      <c r="A106" s="8"/>
      <c r="B106" s="190"/>
      <c r="C106" s="476" t="s">
        <v>215</v>
      </c>
      <c r="D106" s="477"/>
      <c r="E106" s="127">
        <v>21</v>
      </c>
      <c r="F106" s="128">
        <v>31</v>
      </c>
      <c r="G106" s="128">
        <v>58</v>
      </c>
      <c r="H106" s="128">
        <f>IF('Subcases Monthly'!$D$4="","",VLOOKUP('Subcases Monthly'!$D$4,DataLookUp!$A$4:$AVY$70,1058,FALSE))</f>
        <v>0</v>
      </c>
      <c r="I106" s="128">
        <f>IF('Subcases Monthly'!$D$4="","",VLOOKUP('Subcases Monthly'!$D$4,DataLookUp!$A$4:$AVY$70,1059,FALSE))</f>
        <v>0</v>
      </c>
      <c r="J106" s="128">
        <f>IF('Subcases Monthly'!$D$4="","",VLOOKUP('Subcases Monthly'!$D$4,DataLookUp!$A$4:$AVY$70,1060,FALSE))</f>
        <v>0</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110</v>
      </c>
      <c r="R106" s="464"/>
    </row>
    <row r="107" spans="1:18" ht="20.100000000000001" customHeight="1" thickBot="1" x14ac:dyDescent="0.25">
      <c r="A107" s="8"/>
      <c r="B107" s="199">
        <v>1</v>
      </c>
      <c r="C107" s="472" t="s">
        <v>157</v>
      </c>
      <c r="D107" s="473"/>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65"/>
    </row>
    <row r="108" spans="1:18" ht="20.100000000000001" customHeight="1" thickTop="1" thickBot="1" x14ac:dyDescent="0.25">
      <c r="A108" s="8"/>
      <c r="B108" s="192"/>
      <c r="C108" s="474" t="s">
        <v>395</v>
      </c>
      <c r="D108" s="475"/>
      <c r="E108" s="244">
        <f>SUM(E97:E107)</f>
        <v>458</v>
      </c>
      <c r="F108" s="245">
        <f t="shared" ref="F108:P108" si="43">SUM(F97:F107)</f>
        <v>410</v>
      </c>
      <c r="G108" s="245">
        <f t="shared" si="43"/>
        <v>415</v>
      </c>
      <c r="H108" s="245">
        <f t="shared" si="43"/>
        <v>0</v>
      </c>
      <c r="I108" s="245">
        <f t="shared" si="43"/>
        <v>0</v>
      </c>
      <c r="J108" s="245">
        <f t="shared" si="43"/>
        <v>0</v>
      </c>
      <c r="K108" s="245">
        <f t="shared" si="43"/>
        <v>0</v>
      </c>
      <c r="L108" s="245">
        <f t="shared" si="43"/>
        <v>0</v>
      </c>
      <c r="M108" s="245">
        <f t="shared" si="43"/>
        <v>0</v>
      </c>
      <c r="N108" s="245">
        <f t="shared" si="43"/>
        <v>0</v>
      </c>
      <c r="O108" s="245">
        <f t="shared" si="43"/>
        <v>0</v>
      </c>
      <c r="P108" s="246">
        <f t="shared" si="43"/>
        <v>0</v>
      </c>
      <c r="Q108" s="146">
        <f t="shared" si="42"/>
        <v>1283</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v>15</v>
      </c>
      <c r="F111" s="125">
        <v>18</v>
      </c>
      <c r="G111" s="125">
        <v>20</v>
      </c>
      <c r="H111" s="125">
        <f>IF('Subcases Monthly'!$D$4="","",VLOOKUP('Subcases Monthly'!$D$4,DataLookUp!$A$4:$AVY$70,1097,FALSE))</f>
        <v>0</v>
      </c>
      <c r="I111" s="125">
        <f>IF('Subcases Monthly'!$D$4="","",VLOOKUP('Subcases Monthly'!$D$4,DataLookUp!$A$4:$AVY$70,1098,FALSE))</f>
        <v>0</v>
      </c>
      <c r="J111" s="125">
        <f>IF('Subcases Monthly'!$D$4="","",VLOOKUP('Subcases Monthly'!$D$4,DataLookUp!$A$4:$AVY$70,1099,FALSE))</f>
        <v>0</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53</v>
      </c>
      <c r="R111" s="463">
        <f>IF('Subcases Monthly'!$D$4="","",VLOOKUP('Subcases Monthly'!$D$4,DataLookUp!$A$4:$AVY$70,1272,FALSE))</f>
        <v>0</v>
      </c>
    </row>
    <row r="112" spans="1:18" ht="20.100000000000001" customHeight="1" x14ac:dyDescent="0.2">
      <c r="B112" s="190"/>
      <c r="C112" s="476" t="s">
        <v>217</v>
      </c>
      <c r="D112" s="477"/>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64"/>
    </row>
    <row r="113" spans="2:18" ht="20.100000000000001" customHeight="1" x14ac:dyDescent="0.2">
      <c r="B113" s="190"/>
      <c r="C113" s="476" t="s">
        <v>218</v>
      </c>
      <c r="D113" s="477"/>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64"/>
    </row>
    <row r="114" spans="2:18" ht="20.100000000000001" customHeight="1" x14ac:dyDescent="0.2">
      <c r="B114" s="190"/>
      <c r="C114" s="476" t="s">
        <v>219</v>
      </c>
      <c r="D114" s="477"/>
      <c r="E114" s="127">
        <f>IF('Subcases Monthly'!$D$4="","",VLOOKUP('Subcases Monthly'!$D$4,DataLookUp!$A$4:$AVY$70,1133,FALSE))</f>
        <v>0</v>
      </c>
      <c r="F114" s="128">
        <v>0</v>
      </c>
      <c r="G114" s="128">
        <v>0</v>
      </c>
      <c r="H114" s="128">
        <f>IF('Subcases Monthly'!$D$4="","",VLOOKUP('Subcases Monthly'!$D$4,DataLookUp!$A$4:$AVY$70,1136,FALSE))</f>
        <v>0</v>
      </c>
      <c r="I114" s="128">
        <f>IF('Subcases Monthly'!$D$4="","",VLOOKUP('Subcases Monthly'!$D$4,DataLookUp!$A$4:$AVY$70,1137,FALSE))</f>
        <v>0</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0</v>
      </c>
      <c r="R114" s="464"/>
    </row>
    <row r="115" spans="2:18" ht="20.100000000000001" customHeight="1" x14ac:dyDescent="0.2">
      <c r="B115" s="190"/>
      <c r="C115" s="476" t="s">
        <v>220</v>
      </c>
      <c r="D115" s="477"/>
      <c r="E115" s="130">
        <v>3</v>
      </c>
      <c r="F115" s="131">
        <v>2</v>
      </c>
      <c r="G115" s="131">
        <v>1</v>
      </c>
      <c r="H115" s="131">
        <f>IF('Subcases Monthly'!$D$4="","",VLOOKUP('Subcases Monthly'!$D$4,DataLookUp!$A$4:$AVY$70,1149,FALSE))</f>
        <v>0</v>
      </c>
      <c r="I115" s="131">
        <f>IF('Subcases Monthly'!$D$4="","",VLOOKUP('Subcases Monthly'!$D$4,DataLookUp!$A$4:$AVY$70,1150,FALSE))</f>
        <v>0</v>
      </c>
      <c r="J115" s="131">
        <f>IF('Subcases Monthly'!$D$4="","",VLOOKUP('Subcases Monthly'!$D$4,DataLookUp!$A$4:$AVY$70,1151,FALSE))</f>
        <v>0</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6</v>
      </c>
      <c r="R115" s="464"/>
    </row>
    <row r="116" spans="2:18" ht="20.100000000000001" customHeight="1" x14ac:dyDescent="0.2">
      <c r="B116" s="190"/>
      <c r="C116" s="476" t="s">
        <v>164</v>
      </c>
      <c r="D116" s="477"/>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64"/>
    </row>
    <row r="117" spans="2:18" ht="20.100000000000001" customHeight="1" x14ac:dyDescent="0.2">
      <c r="B117" s="190"/>
      <c r="C117" s="476" t="s">
        <v>225</v>
      </c>
      <c r="D117" s="477"/>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64"/>
    </row>
    <row r="118" spans="2:18" ht="20.100000000000001" customHeight="1" x14ac:dyDescent="0.2">
      <c r="B118" s="190"/>
      <c r="C118" s="476" t="s">
        <v>221</v>
      </c>
      <c r="D118" s="477"/>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64"/>
    </row>
    <row r="119" spans="2:18" ht="20.100000000000001" customHeight="1" thickBot="1" x14ac:dyDescent="0.25">
      <c r="B119" s="199">
        <v>1</v>
      </c>
      <c r="C119" s="472" t="s">
        <v>157</v>
      </c>
      <c r="D119" s="473"/>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65"/>
    </row>
    <row r="120" spans="2:18" s="13" customFormat="1" ht="20.100000000000001" customHeight="1" thickTop="1" thickBot="1" x14ac:dyDescent="0.25">
      <c r="B120" s="192"/>
      <c r="C120" s="474" t="s">
        <v>396</v>
      </c>
      <c r="D120" s="475"/>
      <c r="E120" s="244">
        <f>SUM(E111:E119)</f>
        <v>18</v>
      </c>
      <c r="F120" s="245">
        <f t="shared" ref="F120:P120" si="46">SUM(F111:F119)</f>
        <v>20</v>
      </c>
      <c r="G120" s="245">
        <f t="shared" si="46"/>
        <v>22</v>
      </c>
      <c r="H120" s="245">
        <f t="shared" si="46"/>
        <v>0</v>
      </c>
      <c r="I120" s="245">
        <f t="shared" si="46"/>
        <v>0</v>
      </c>
      <c r="J120" s="245">
        <f t="shared" si="46"/>
        <v>0</v>
      </c>
      <c r="K120" s="245">
        <f t="shared" si="46"/>
        <v>0</v>
      </c>
      <c r="L120" s="245">
        <f t="shared" si="46"/>
        <v>0</v>
      </c>
      <c r="M120" s="245">
        <f t="shared" si="46"/>
        <v>0</v>
      </c>
      <c r="N120" s="245">
        <f t="shared" si="46"/>
        <v>0</v>
      </c>
      <c r="O120" s="245">
        <f t="shared" si="46"/>
        <v>0</v>
      </c>
      <c r="P120" s="246">
        <f t="shared" si="46"/>
        <v>0</v>
      </c>
      <c r="Q120" s="146">
        <f t="shared" si="45"/>
        <v>60</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v>3260</v>
      </c>
      <c r="F123" s="148">
        <v>3692</v>
      </c>
      <c r="G123" s="148">
        <v>3766</v>
      </c>
      <c r="H123" s="148">
        <f>IF('Subcases Monthly'!$D$4="","",VLOOKUP('Subcases Monthly'!$D$4,DataLookUp!$A$4:$AVY$70,1227,FALSE))</f>
        <v>0</v>
      </c>
      <c r="I123" s="148">
        <f>IF('Subcases Monthly'!$D$4="","",VLOOKUP('Subcases Monthly'!$D$4,DataLookUp!$A$4:$AVY$70,1228,FALSE))</f>
        <v>0</v>
      </c>
      <c r="J123" s="148">
        <f>IF('Subcases Monthly'!$D$4="","",VLOOKUP('Subcases Monthly'!$D$4,DataLookUp!$A$4:$AVY$70,1229,FALSE))</f>
        <v>0</v>
      </c>
      <c r="K123" s="148">
        <f>IF('Subcases Monthly'!$D$4="","",VLOOKUP('Subcases Monthly'!$D$4,DataLookUp!$A$4:$AVY$70,1230,FALSE))</f>
        <v>0</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10718</v>
      </c>
      <c r="R123" s="463">
        <f>IF('Subcases Monthly'!$D$4="","",VLOOKUP('Subcases Monthly'!$D$4,DataLookUp!$A$4:$AVY$70,1273,FALSE))</f>
        <v>0</v>
      </c>
    </row>
    <row r="124" spans="2:18" ht="20.100000000000001" customHeight="1" thickTop="1" thickBot="1" x14ac:dyDescent="0.25">
      <c r="B124" s="194"/>
      <c r="C124" s="489" t="s">
        <v>397</v>
      </c>
      <c r="D124" s="490"/>
      <c r="E124" s="244">
        <f>SUM(E123:E123)</f>
        <v>3260</v>
      </c>
      <c r="F124" s="245">
        <f t="shared" ref="F124:P124" si="49">SUM(F123:F123)</f>
        <v>3692</v>
      </c>
      <c r="G124" s="245">
        <f t="shared" si="49"/>
        <v>3766</v>
      </c>
      <c r="H124" s="245">
        <f t="shared" si="49"/>
        <v>0</v>
      </c>
      <c r="I124" s="245">
        <f t="shared" si="49"/>
        <v>0</v>
      </c>
      <c r="J124" s="245">
        <f t="shared" si="49"/>
        <v>0</v>
      </c>
      <c r="K124" s="245">
        <f t="shared" si="49"/>
        <v>0</v>
      </c>
      <c r="L124" s="245">
        <f t="shared" si="49"/>
        <v>0</v>
      </c>
      <c r="M124" s="245">
        <f t="shared" si="49"/>
        <v>0</v>
      </c>
      <c r="N124" s="245">
        <f t="shared" si="49"/>
        <v>0</v>
      </c>
      <c r="O124" s="245">
        <f t="shared" si="49"/>
        <v>0</v>
      </c>
      <c r="P124" s="246">
        <f t="shared" si="49"/>
        <v>0</v>
      </c>
      <c r="Q124" s="146">
        <f t="shared" si="48"/>
        <v>10718</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O7" sqref="O7:Q7"/>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Brevard</v>
      </c>
      <c r="E4" s="504"/>
      <c r="F4" s="6"/>
      <c r="G4" s="21" t="s">
        <v>226</v>
      </c>
      <c r="H4" s="504" t="str">
        <f>IF('Subcases Monthly'!H4="","",'Subcases Monthly'!H4)</f>
        <v>December</v>
      </c>
      <c r="I4" s="504"/>
      <c r="K4" s="21" t="s">
        <v>3</v>
      </c>
      <c r="L4" s="91">
        <f>IF('Subcases Monthly'!L4="","",'Subcases Monthly'!L4)</f>
        <v>1</v>
      </c>
      <c r="N4"/>
      <c r="O4" s="462" t="str">
        <f>'Subcases Monthly'!Q4</f>
        <v>CCOC Form Version 1
Created: 11/11/2024</v>
      </c>
      <c r="P4" s="462"/>
      <c r="Q4" s="462"/>
    </row>
    <row r="5" spans="1:17" ht="21" customHeight="1" thickBot="1" x14ac:dyDescent="0.35">
      <c r="A5" s="6"/>
      <c r="C5" s="21" t="s">
        <v>73</v>
      </c>
      <c r="D5" s="505" t="str">
        <f>IF('Subcases Monthly'!D5="","",'Subcases Monthly'!D5)</f>
        <v xml:space="preserve">Carol Vail </v>
      </c>
      <c r="E5" s="505"/>
      <c r="F5" s="6"/>
      <c r="N5" s="7"/>
      <c r="O5" s="503"/>
      <c r="P5" s="503"/>
      <c r="Q5" s="503"/>
    </row>
    <row r="6" spans="1:17" ht="26.25" customHeight="1" thickBot="1" x14ac:dyDescent="0.25">
      <c r="A6" s="6"/>
      <c r="C6" s="21" t="s">
        <v>84</v>
      </c>
      <c r="D6" s="504" t="str">
        <f>IF('Subcases Monthly'!D6="","",'Subcases Monthly'!D6)</f>
        <v>carol.vail@brevardclerk.us</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f>IF('Subcases Monthly'!$D$4="","",VLOOKUP('Subcases Monthly'!$D$4,'Timeliness Performance'!$A$4:$DR$70,122,FALSE))</f>
        <v>0</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525</v>
      </c>
      <c r="F10" s="151">
        <f>'Subcases Monthly'!F15</f>
        <v>549</v>
      </c>
      <c r="G10" s="151">
        <f>'Subcases Monthly'!G15</f>
        <v>503</v>
      </c>
      <c r="H10" s="151">
        <f>'Subcases Monthly'!H15</f>
        <v>0</v>
      </c>
      <c r="I10" s="151">
        <f>'Subcases Monthly'!I15</f>
        <v>0</v>
      </c>
      <c r="J10" s="151">
        <f>'Subcases Monthly'!J15</f>
        <v>0</v>
      </c>
      <c r="K10" s="151">
        <f>'Subcases Monthly'!K15</f>
        <v>0</v>
      </c>
      <c r="L10" s="151">
        <f>'Subcases Monthly'!L15</f>
        <v>0</v>
      </c>
      <c r="M10" s="151">
        <f>'Subcases Monthly'!M15</f>
        <v>0</v>
      </c>
      <c r="N10" s="151">
        <f>'Subcases Monthly'!N15</f>
        <v>0</v>
      </c>
      <c r="O10" s="151">
        <f>'Subcases Monthly'!O15</f>
        <v>0</v>
      </c>
      <c r="P10" s="152">
        <f>'Subcases Monthly'!P15</f>
        <v>0</v>
      </c>
      <c r="Q10" s="153">
        <f>SUM(E10:P10)</f>
        <v>1577</v>
      </c>
    </row>
    <row r="11" spans="1:17" ht="19.5" customHeight="1" x14ac:dyDescent="0.2">
      <c r="B11" s="494" t="s">
        <v>133</v>
      </c>
      <c r="C11" s="476"/>
      <c r="D11" s="476"/>
      <c r="E11" s="154">
        <f>'Subcases Monthly'!E23</f>
        <v>485</v>
      </c>
      <c r="F11" s="155">
        <f>'Subcases Monthly'!F23</f>
        <v>566</v>
      </c>
      <c r="G11" s="155">
        <f>'Subcases Monthly'!G23</f>
        <v>585</v>
      </c>
      <c r="H11" s="155">
        <f>'Subcases Monthly'!H23</f>
        <v>0</v>
      </c>
      <c r="I11" s="155">
        <f>'Subcases Monthly'!I23</f>
        <v>0</v>
      </c>
      <c r="J11" s="155">
        <f>'Subcases Monthly'!J23</f>
        <v>0</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1636</v>
      </c>
    </row>
    <row r="12" spans="1:17" ht="19.5" customHeight="1" x14ac:dyDescent="0.2">
      <c r="B12" s="494" t="s">
        <v>140</v>
      </c>
      <c r="C12" s="476"/>
      <c r="D12" s="476"/>
      <c r="E12" s="154">
        <f>'Subcases Monthly'!E30</f>
        <v>97</v>
      </c>
      <c r="F12" s="155">
        <f>'Subcases Monthly'!F30</f>
        <v>95</v>
      </c>
      <c r="G12" s="155">
        <f>'Subcases Monthly'!G30</f>
        <v>79</v>
      </c>
      <c r="H12" s="155">
        <f>'Subcases Monthly'!H30</f>
        <v>0</v>
      </c>
      <c r="I12" s="155">
        <f>'Subcases Monthly'!I30</f>
        <v>0</v>
      </c>
      <c r="J12" s="155">
        <f>'Subcases Monthly'!J30</f>
        <v>0</v>
      </c>
      <c r="K12" s="155">
        <f>'Subcases Monthly'!K30</f>
        <v>0</v>
      </c>
      <c r="L12" s="155">
        <f>'Subcases Monthly'!L30</f>
        <v>0</v>
      </c>
      <c r="M12" s="155">
        <f>'Subcases Monthly'!M30</f>
        <v>0</v>
      </c>
      <c r="N12" s="155">
        <f>'Subcases Monthly'!N30</f>
        <v>0</v>
      </c>
      <c r="O12" s="155">
        <f>'Subcases Monthly'!O30</f>
        <v>0</v>
      </c>
      <c r="P12" s="156">
        <f>'Subcases Monthly'!P30</f>
        <v>0</v>
      </c>
      <c r="Q12" s="157">
        <f t="shared" si="1"/>
        <v>271</v>
      </c>
    </row>
    <row r="13" spans="1:17" ht="19.5" customHeight="1" x14ac:dyDescent="0.2">
      <c r="B13" s="494" t="s">
        <v>137</v>
      </c>
      <c r="C13" s="476"/>
      <c r="D13" s="476"/>
      <c r="E13" s="154">
        <f>'Subcases Monthly'!E36</f>
        <v>711</v>
      </c>
      <c r="F13" s="155">
        <f>'Subcases Monthly'!F36</f>
        <v>709</v>
      </c>
      <c r="G13" s="155">
        <f>'Subcases Monthly'!G36</f>
        <v>734</v>
      </c>
      <c r="H13" s="155">
        <f>'Subcases Monthly'!H36</f>
        <v>0</v>
      </c>
      <c r="I13" s="155">
        <f>'Subcases Monthly'!I36</f>
        <v>0</v>
      </c>
      <c r="J13" s="155">
        <f>'Subcases Monthly'!J36</f>
        <v>0</v>
      </c>
      <c r="K13" s="155">
        <f>'Subcases Monthly'!K36</f>
        <v>0</v>
      </c>
      <c r="L13" s="155">
        <f>'Subcases Monthly'!L36</f>
        <v>0</v>
      </c>
      <c r="M13" s="155">
        <f>'Subcases Monthly'!M36</f>
        <v>0</v>
      </c>
      <c r="N13" s="155">
        <f>'Subcases Monthly'!N36</f>
        <v>0</v>
      </c>
      <c r="O13" s="155">
        <f>'Subcases Monthly'!O36</f>
        <v>0</v>
      </c>
      <c r="P13" s="156">
        <f>'Subcases Monthly'!P36</f>
        <v>0</v>
      </c>
      <c r="Q13" s="157">
        <f t="shared" si="1"/>
        <v>2154</v>
      </c>
    </row>
    <row r="14" spans="1:17" ht="19.5" customHeight="1" x14ac:dyDescent="0.2">
      <c r="B14" s="494" t="s">
        <v>134</v>
      </c>
      <c r="C14" s="476"/>
      <c r="D14" s="476"/>
      <c r="E14" s="154">
        <f>'Subcases Monthly'!E60</f>
        <v>307</v>
      </c>
      <c r="F14" s="155">
        <f>'Subcases Monthly'!F60</f>
        <v>242</v>
      </c>
      <c r="G14" s="155">
        <f>'Subcases Monthly'!G60</f>
        <v>284</v>
      </c>
      <c r="H14" s="155">
        <f>'Subcases Monthly'!H60</f>
        <v>0</v>
      </c>
      <c r="I14" s="155">
        <f>'Subcases Monthly'!I60</f>
        <v>0</v>
      </c>
      <c r="J14" s="155">
        <f>'Subcases Monthly'!J60</f>
        <v>0</v>
      </c>
      <c r="K14" s="155">
        <f>'Subcases Monthly'!K60</f>
        <v>0</v>
      </c>
      <c r="L14" s="155">
        <f>'Subcases Monthly'!L60</f>
        <v>0</v>
      </c>
      <c r="M14" s="155">
        <f>'Subcases Monthly'!M60</f>
        <v>0</v>
      </c>
      <c r="N14" s="155">
        <f>'Subcases Monthly'!N60</f>
        <v>0</v>
      </c>
      <c r="O14" s="155">
        <f>'Subcases Monthly'!O60</f>
        <v>0</v>
      </c>
      <c r="P14" s="156">
        <f>'Subcases Monthly'!P60</f>
        <v>0</v>
      </c>
      <c r="Q14" s="157">
        <f t="shared" si="1"/>
        <v>833</v>
      </c>
    </row>
    <row r="15" spans="1:17" ht="19.5" customHeight="1" x14ac:dyDescent="0.2">
      <c r="B15" s="494" t="s">
        <v>135</v>
      </c>
      <c r="C15" s="476"/>
      <c r="D15" s="476"/>
      <c r="E15" s="154">
        <f>'Subcases Monthly'!E74</f>
        <v>1183</v>
      </c>
      <c r="F15" s="155">
        <f>'Subcases Monthly'!F74</f>
        <v>1188</v>
      </c>
      <c r="G15" s="155">
        <f>'Subcases Monthly'!G74</f>
        <v>1173</v>
      </c>
      <c r="H15" s="155">
        <f>'Subcases Monthly'!H74</f>
        <v>0</v>
      </c>
      <c r="I15" s="155">
        <f>'Subcases Monthly'!I74</f>
        <v>0</v>
      </c>
      <c r="J15" s="155">
        <f>'Subcases Monthly'!J74</f>
        <v>0</v>
      </c>
      <c r="K15" s="155">
        <f>'Subcases Monthly'!K74</f>
        <v>0</v>
      </c>
      <c r="L15" s="155">
        <f>'Subcases Monthly'!L74</f>
        <v>0</v>
      </c>
      <c r="M15" s="155">
        <f>'Subcases Monthly'!M74</f>
        <v>0</v>
      </c>
      <c r="N15" s="155">
        <f>'Subcases Monthly'!N74</f>
        <v>0</v>
      </c>
      <c r="O15" s="155">
        <f>'Subcases Monthly'!O74</f>
        <v>0</v>
      </c>
      <c r="P15" s="156">
        <f>'Subcases Monthly'!P74</f>
        <v>0</v>
      </c>
      <c r="Q15" s="157">
        <f t="shared" si="1"/>
        <v>3544</v>
      </c>
    </row>
    <row r="16" spans="1:17" ht="19.5" customHeight="1" x14ac:dyDescent="0.2">
      <c r="B16" s="494" t="s">
        <v>136</v>
      </c>
      <c r="C16" s="476"/>
      <c r="D16" s="476"/>
      <c r="E16" s="154">
        <f>'Subcases Monthly'!E94</f>
        <v>605</v>
      </c>
      <c r="F16" s="155">
        <f>'Subcases Monthly'!F94</f>
        <v>591</v>
      </c>
      <c r="G16" s="155">
        <f>'Subcases Monthly'!G94</f>
        <v>560</v>
      </c>
      <c r="H16" s="155">
        <f>'Subcases Monthly'!H94</f>
        <v>0</v>
      </c>
      <c r="I16" s="155">
        <f>'Subcases Monthly'!I94</f>
        <v>0</v>
      </c>
      <c r="J16" s="155">
        <f>'Subcases Monthly'!J94</f>
        <v>0</v>
      </c>
      <c r="K16" s="155">
        <f>'Subcases Monthly'!K94</f>
        <v>0</v>
      </c>
      <c r="L16" s="155">
        <f>'Subcases Monthly'!L94</f>
        <v>0</v>
      </c>
      <c r="M16" s="155">
        <f>'Subcases Monthly'!M94</f>
        <v>0</v>
      </c>
      <c r="N16" s="155">
        <f>'Subcases Monthly'!N94</f>
        <v>0</v>
      </c>
      <c r="O16" s="155">
        <f>'Subcases Monthly'!O94</f>
        <v>0</v>
      </c>
      <c r="P16" s="156">
        <f>'Subcases Monthly'!P94</f>
        <v>0</v>
      </c>
      <c r="Q16" s="157">
        <f t="shared" si="1"/>
        <v>1756</v>
      </c>
    </row>
    <row r="17" spans="1:17" ht="19.5" customHeight="1" x14ac:dyDescent="0.2">
      <c r="B17" s="494" t="s">
        <v>229</v>
      </c>
      <c r="C17" s="476"/>
      <c r="D17" s="476"/>
      <c r="E17" s="154">
        <f>'Subcases Monthly'!E108</f>
        <v>458</v>
      </c>
      <c r="F17" s="155">
        <f>'Subcases Monthly'!F108</f>
        <v>410</v>
      </c>
      <c r="G17" s="155">
        <f>'Subcases Monthly'!G108</f>
        <v>415</v>
      </c>
      <c r="H17" s="155">
        <f>'Subcases Monthly'!H108</f>
        <v>0</v>
      </c>
      <c r="I17" s="155">
        <f>'Subcases Monthly'!I108</f>
        <v>0</v>
      </c>
      <c r="J17" s="155">
        <f>'Subcases Monthly'!J108</f>
        <v>0</v>
      </c>
      <c r="K17" s="155">
        <f>'Subcases Monthly'!K108</f>
        <v>0</v>
      </c>
      <c r="L17" s="155">
        <f>'Subcases Monthly'!L108</f>
        <v>0</v>
      </c>
      <c r="M17" s="155">
        <f>'Subcases Monthly'!M108</f>
        <v>0</v>
      </c>
      <c r="N17" s="155">
        <f>'Subcases Monthly'!N108</f>
        <v>0</v>
      </c>
      <c r="O17" s="155">
        <f>'Subcases Monthly'!O108</f>
        <v>0</v>
      </c>
      <c r="P17" s="156">
        <f>'Subcases Monthly'!P108</f>
        <v>0</v>
      </c>
      <c r="Q17" s="157">
        <f t="shared" si="1"/>
        <v>1283</v>
      </c>
    </row>
    <row r="18" spans="1:17" ht="19.5" customHeight="1" x14ac:dyDescent="0.2">
      <c r="B18" s="494" t="s">
        <v>139</v>
      </c>
      <c r="C18" s="476"/>
      <c r="D18" s="476"/>
      <c r="E18" s="154">
        <f>'Subcases Monthly'!E120</f>
        <v>18</v>
      </c>
      <c r="F18" s="155">
        <f>'Subcases Monthly'!F120</f>
        <v>20</v>
      </c>
      <c r="G18" s="155">
        <f>'Subcases Monthly'!G120</f>
        <v>22</v>
      </c>
      <c r="H18" s="155">
        <f>'Subcases Monthly'!H120</f>
        <v>0</v>
      </c>
      <c r="I18" s="155">
        <f>'Subcases Monthly'!I120</f>
        <v>0</v>
      </c>
      <c r="J18" s="155">
        <f>'Subcases Monthly'!J120</f>
        <v>0</v>
      </c>
      <c r="K18" s="155">
        <f>'Subcases Monthly'!K120</f>
        <v>0</v>
      </c>
      <c r="L18" s="155">
        <f>'Subcases Monthly'!L120</f>
        <v>0</v>
      </c>
      <c r="M18" s="155">
        <f>'Subcases Monthly'!M120</f>
        <v>0</v>
      </c>
      <c r="N18" s="155">
        <f>'Subcases Monthly'!N120</f>
        <v>0</v>
      </c>
      <c r="O18" s="155">
        <f>'Subcases Monthly'!O120</f>
        <v>0</v>
      </c>
      <c r="P18" s="156">
        <f>'Subcases Monthly'!P120</f>
        <v>0</v>
      </c>
      <c r="Q18" s="157">
        <f t="shared" si="1"/>
        <v>60</v>
      </c>
    </row>
    <row r="19" spans="1:17" ht="19.5" customHeight="1" thickBot="1" x14ac:dyDescent="0.25">
      <c r="B19" s="495" t="s">
        <v>138</v>
      </c>
      <c r="C19" s="472"/>
      <c r="D19" s="472"/>
      <c r="E19" s="158">
        <f>'Subcases Monthly'!E124</f>
        <v>3260</v>
      </c>
      <c r="F19" s="159">
        <f>'Subcases Monthly'!F124</f>
        <v>3692</v>
      </c>
      <c r="G19" s="159">
        <f>'Subcases Monthly'!G124</f>
        <v>3766</v>
      </c>
      <c r="H19" s="159">
        <f>'Subcases Monthly'!H124</f>
        <v>0</v>
      </c>
      <c r="I19" s="159">
        <f>'Subcases Monthly'!I124</f>
        <v>0</v>
      </c>
      <c r="J19" s="159">
        <f>'Subcases Monthly'!J124</f>
        <v>0</v>
      </c>
      <c r="K19" s="159">
        <f>'Subcases Monthly'!K124</f>
        <v>0</v>
      </c>
      <c r="L19" s="159">
        <f>'Subcases Monthly'!L124</f>
        <v>0</v>
      </c>
      <c r="M19" s="159">
        <f>'Subcases Monthly'!M124</f>
        <v>0</v>
      </c>
      <c r="N19" s="159">
        <f>'Subcases Monthly'!N124</f>
        <v>0</v>
      </c>
      <c r="O19" s="159">
        <f>'Subcases Monthly'!O124</f>
        <v>0</v>
      </c>
      <c r="P19" s="160">
        <f>'Subcases Monthly'!P124</f>
        <v>0</v>
      </c>
      <c r="Q19" s="161">
        <f t="shared" si="1"/>
        <v>10718</v>
      </c>
    </row>
    <row r="20" spans="1:17" s="13" customFormat="1" ht="19.5" customHeight="1" thickTop="1" thickBot="1" x14ac:dyDescent="0.25">
      <c r="B20" s="497" t="s">
        <v>380</v>
      </c>
      <c r="C20" s="474"/>
      <c r="D20" s="475"/>
      <c r="E20" s="211">
        <f t="shared" ref="E20:P20" si="2">SUM(E10:E19)</f>
        <v>7649</v>
      </c>
      <c r="F20" s="212">
        <f t="shared" si="2"/>
        <v>8062</v>
      </c>
      <c r="G20" s="212">
        <f t="shared" si="2"/>
        <v>8121</v>
      </c>
      <c r="H20" s="212">
        <f t="shared" si="2"/>
        <v>0</v>
      </c>
      <c r="I20" s="212">
        <f t="shared" si="2"/>
        <v>0</v>
      </c>
      <c r="J20" s="212">
        <f t="shared" si="2"/>
        <v>0</v>
      </c>
      <c r="K20" s="212">
        <f t="shared" si="2"/>
        <v>0</v>
      </c>
      <c r="L20" s="212">
        <f t="shared" si="2"/>
        <v>0</v>
      </c>
      <c r="M20" s="212">
        <f t="shared" si="2"/>
        <v>0</v>
      </c>
      <c r="N20" s="212">
        <f t="shared" si="2"/>
        <v>0</v>
      </c>
      <c r="O20" s="212">
        <f t="shared" si="2"/>
        <v>0</v>
      </c>
      <c r="P20" s="261">
        <f t="shared" si="2"/>
        <v>0</v>
      </c>
      <c r="Q20" s="262">
        <f t="shared" ref="Q20" si="3">SUM(E20:P20)</f>
        <v>23832</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v>961</v>
      </c>
      <c r="F23" s="173">
        <v>761</v>
      </c>
      <c r="G23" s="173">
        <v>883</v>
      </c>
      <c r="H23" s="173">
        <f>IF('Subcases Monthly'!$D$4="","",VLOOKUP('Subcases Monthly'!$D$4,'ReOpens by Court Division'!$A$4:$EJ$70,5,FALSE))</f>
        <v>0</v>
      </c>
      <c r="I23" s="173">
        <f>IF('Subcases Monthly'!$D$4="","",VLOOKUP('Subcases Monthly'!$D$4,'ReOpens by Court Division'!$A$4:$EJ$70,6,FALSE))</f>
        <v>0</v>
      </c>
      <c r="J23" s="173">
        <f>IF('Subcases Monthly'!$D$4="","",VLOOKUP('Subcases Monthly'!$D$4,'ReOpens by Court Division'!$A$4:$EJ$70,7,FALSE))</f>
        <v>0</v>
      </c>
      <c r="K23" s="173">
        <f>IF('Subcases Monthly'!$D$4="","",VLOOKUP('Subcases Monthly'!$D$4,'ReOpens by Court Division'!$A$4:$EJ$70,8,FALSE))</f>
        <v>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2605</v>
      </c>
    </row>
    <row r="24" spans="1:17" ht="19.5" customHeight="1" x14ac:dyDescent="0.2">
      <c r="B24" s="494" t="s">
        <v>133</v>
      </c>
      <c r="C24" s="476"/>
      <c r="D24" s="476"/>
      <c r="E24" s="141">
        <v>90</v>
      </c>
      <c r="F24" s="142">
        <v>83</v>
      </c>
      <c r="G24" s="142">
        <v>89</v>
      </c>
      <c r="H24" s="142">
        <f>IF('Subcases Monthly'!$D$4="","",VLOOKUP('Subcases Monthly'!$D$4,'ReOpens by Court Division'!$A$4:$EJ$70,19,FALSE))</f>
        <v>0</v>
      </c>
      <c r="I24" s="142">
        <f>IF('Subcases Monthly'!$D$4="","",VLOOKUP('Subcases Monthly'!$D$4,'ReOpens by Court Division'!$A$4:$EJ$70,20,FALSE))</f>
        <v>0</v>
      </c>
      <c r="J24" s="142">
        <f>IF('Subcases Monthly'!$D$4="","",VLOOKUP('Subcases Monthly'!$D$4,'ReOpens by Court Division'!$A$4:$EJ$70,21,FALSE))</f>
        <v>0</v>
      </c>
      <c r="K24" s="142">
        <f>IF('Subcases Monthly'!$D$4="","",VLOOKUP('Subcases Monthly'!$D$4,'ReOpens by Court Division'!$A$4:$EJ$70,22,FALSE))</f>
        <v>0</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262</v>
      </c>
    </row>
    <row r="25" spans="1:17" ht="19.5" customHeight="1" x14ac:dyDescent="0.2">
      <c r="B25" s="494" t="s">
        <v>140</v>
      </c>
      <c r="C25" s="476"/>
      <c r="D25" s="476"/>
      <c r="E25" s="255">
        <v>118</v>
      </c>
      <c r="F25" s="256">
        <v>90</v>
      </c>
      <c r="G25" s="256">
        <v>90</v>
      </c>
      <c r="H25" s="256">
        <f>IF('Subcases Monthly'!$D$4="","",VLOOKUP('Subcases Monthly'!$D$4,'ReOpens by Court Division'!$A$4:$EJ$70,33,FALSE))</f>
        <v>0</v>
      </c>
      <c r="I25" s="256">
        <f>IF('Subcases Monthly'!$D$4="","",VLOOKUP('Subcases Monthly'!$D$4,'ReOpens by Court Division'!$A$4:$EJ$70,34,FALSE))</f>
        <v>0</v>
      </c>
      <c r="J25" s="256">
        <f>IF('Subcases Monthly'!$D$4="","",VLOOKUP('Subcases Monthly'!$D$4,'ReOpens by Court Division'!$A$4:$EJ$70,35,FALSE))</f>
        <v>0</v>
      </c>
      <c r="K25" s="256">
        <f>IF('Subcases Monthly'!$D$4="","",VLOOKUP('Subcases Monthly'!$D$4,'ReOpens by Court Division'!$A$4:$EJ$70,36,FALSE))</f>
        <v>0</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298</v>
      </c>
    </row>
    <row r="26" spans="1:17" ht="19.5" customHeight="1" x14ac:dyDescent="0.2">
      <c r="B26" s="494" t="s">
        <v>137</v>
      </c>
      <c r="C26" s="476"/>
      <c r="D26" s="476"/>
      <c r="E26" s="141">
        <v>194</v>
      </c>
      <c r="F26" s="142">
        <v>133</v>
      </c>
      <c r="G26" s="142">
        <v>97</v>
      </c>
      <c r="H26" s="142">
        <f>IF('Subcases Monthly'!$D$4="","",VLOOKUP('Subcases Monthly'!$D$4,'ReOpens by Court Division'!$A$4:$EJ$70,47,FALSE))</f>
        <v>0</v>
      </c>
      <c r="I26" s="142">
        <f>IF('Subcases Monthly'!$D$4="","",VLOOKUP('Subcases Monthly'!$D$4,'ReOpens by Court Division'!$A$4:$EJ$70,48,FALSE))</f>
        <v>0</v>
      </c>
      <c r="J26" s="142">
        <f>IF('Subcases Monthly'!$D$4="","",VLOOKUP('Subcases Monthly'!$D$4,'ReOpens by Court Division'!$A$4:$EJ$70,49,FALSE))</f>
        <v>0</v>
      </c>
      <c r="K26" s="142">
        <f>IF('Subcases Monthly'!$D$4="","",VLOOKUP('Subcases Monthly'!$D$4,'ReOpens by Court Division'!$A$4:$EJ$70,50,FALSE))</f>
        <v>0</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424</v>
      </c>
    </row>
    <row r="27" spans="1:17" ht="19.5" customHeight="1" x14ac:dyDescent="0.2">
      <c r="B27" s="494" t="s">
        <v>134</v>
      </c>
      <c r="C27" s="476"/>
      <c r="D27" s="476"/>
      <c r="E27" s="255">
        <v>144</v>
      </c>
      <c r="F27" s="256">
        <v>93</v>
      </c>
      <c r="G27" s="256">
        <v>104</v>
      </c>
      <c r="H27" s="256">
        <f>IF('Subcases Monthly'!$D$4="","",VLOOKUP('Subcases Monthly'!$D$4,'ReOpens by Court Division'!$A$4:$EJ$70,61,FALSE))</f>
        <v>0</v>
      </c>
      <c r="I27" s="256">
        <f>IF('Subcases Monthly'!$D$4="","",VLOOKUP('Subcases Monthly'!$D$4,'ReOpens by Court Division'!$A$4:$EJ$70,62,FALSE))</f>
        <v>0</v>
      </c>
      <c r="J27" s="256">
        <f>IF('Subcases Monthly'!$D$4="","",VLOOKUP('Subcases Monthly'!$D$4,'ReOpens by Court Division'!$A$4:$EJ$70,77,FALSE))</f>
        <v>0</v>
      </c>
      <c r="K27" s="256">
        <f>IF('Subcases Monthly'!$D$4="","",VLOOKUP('Subcases Monthly'!$D$4,'ReOpens by Court Division'!$A$4:$EJ$70,64,FALSE))</f>
        <v>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341</v>
      </c>
    </row>
    <row r="28" spans="1:17" ht="19.5" customHeight="1" x14ac:dyDescent="0.2">
      <c r="B28" s="494" t="s">
        <v>135</v>
      </c>
      <c r="C28" s="476"/>
      <c r="D28" s="476"/>
      <c r="E28" s="141">
        <v>466</v>
      </c>
      <c r="F28" s="142">
        <v>452</v>
      </c>
      <c r="G28" s="142">
        <v>423</v>
      </c>
      <c r="H28" s="142">
        <f>IF('Subcases Monthly'!$D$4="","",VLOOKUP('Subcases Monthly'!$D$4,'ReOpens by Court Division'!$A$4:$EJ$70,75,FALSE))</f>
        <v>0</v>
      </c>
      <c r="I28" s="142">
        <f>IF('Subcases Monthly'!$D$4="","",VLOOKUP('Subcases Monthly'!$D$4,'ReOpens by Court Division'!$A$4:$EJ$70,76,FALSE))</f>
        <v>0</v>
      </c>
      <c r="J28" s="142">
        <f>IF('Subcases Monthly'!$D$4="","",VLOOKUP('Subcases Monthly'!$D$4,'ReOpens by Court Division'!$A$4:$EJ$70,91,FALSE))</f>
        <v>0</v>
      </c>
      <c r="K28" s="142">
        <f>IF('Subcases Monthly'!$D$4="","",VLOOKUP('Subcases Monthly'!$D$4,'ReOpens by Court Division'!$A$4:$EJ$70,78,FALSE))</f>
        <v>0</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1341</v>
      </c>
    </row>
    <row r="29" spans="1:17" ht="19.5" customHeight="1" x14ac:dyDescent="0.2">
      <c r="B29" s="494" t="s">
        <v>136</v>
      </c>
      <c r="C29" s="476"/>
      <c r="D29" s="476"/>
      <c r="E29" s="255">
        <v>243</v>
      </c>
      <c r="F29" s="256">
        <v>221</v>
      </c>
      <c r="G29" s="256">
        <v>227</v>
      </c>
      <c r="H29" s="256">
        <f>IF('Subcases Monthly'!$D$4="","",VLOOKUP('Subcases Monthly'!$D$4,'ReOpens by Court Division'!$A$4:$EJ$70,89,FALSE))</f>
        <v>0</v>
      </c>
      <c r="I29" s="256">
        <f>IF('Subcases Monthly'!$D$4="","",VLOOKUP('Subcases Monthly'!$D$4,'ReOpens by Court Division'!$A$4:$EJ$70,90,FALSE))</f>
        <v>0</v>
      </c>
      <c r="J29" s="256">
        <f>IF('Subcases Monthly'!$D$4="","",VLOOKUP('Subcases Monthly'!$D$4,'ReOpens by Court Division'!$A$4:$EJ$70,105,FALSE))</f>
        <v>0</v>
      </c>
      <c r="K29" s="256">
        <f>IF('Subcases Monthly'!$D$4="","",VLOOKUP('Subcases Monthly'!$D$4,'ReOpens by Court Division'!$A$4:$EJ$70,92,FALSE))</f>
        <v>0</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691</v>
      </c>
    </row>
    <row r="30" spans="1:17" ht="19.5" customHeight="1" x14ac:dyDescent="0.2">
      <c r="B30" s="494" t="s">
        <v>229</v>
      </c>
      <c r="C30" s="476"/>
      <c r="D30" s="476"/>
      <c r="E30" s="141">
        <v>641</v>
      </c>
      <c r="F30" s="142">
        <v>885</v>
      </c>
      <c r="G30" s="142">
        <v>440</v>
      </c>
      <c r="H30" s="142">
        <f>IF('Subcases Monthly'!$D$4="","",VLOOKUP('Subcases Monthly'!$D$4,'ReOpens by Court Division'!$A$4:$EJ$70,103,FALSE))</f>
        <v>0</v>
      </c>
      <c r="I30" s="142">
        <f>IF('Subcases Monthly'!$D$4="","",VLOOKUP('Subcases Monthly'!$D$4,'ReOpens by Court Division'!$A$4:$EJ$70,104,FALSE))</f>
        <v>0</v>
      </c>
      <c r="J30" s="142">
        <f>IF('Subcases Monthly'!$D$4="","",VLOOKUP('Subcases Monthly'!$D$4,'ReOpens by Court Division'!$A$4:$EJ$70,119,FALSE))</f>
        <v>0</v>
      </c>
      <c r="K30" s="142">
        <f>IF('Subcases Monthly'!$D$4="","",VLOOKUP('Subcases Monthly'!$D$4,'ReOpens by Court Division'!$A$4:$EJ$70,106,FALSE))</f>
        <v>0</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1966</v>
      </c>
    </row>
    <row r="31" spans="1:17" ht="19.5" customHeight="1" thickBot="1" x14ac:dyDescent="0.25">
      <c r="B31" s="494" t="s">
        <v>139</v>
      </c>
      <c r="C31" s="476"/>
      <c r="D31" s="476"/>
      <c r="E31" s="258">
        <v>50</v>
      </c>
      <c r="F31" s="259">
        <v>57</v>
      </c>
      <c r="G31" s="259">
        <v>41</v>
      </c>
      <c r="H31" s="259">
        <f>IF('Subcases Monthly'!$D$4="","",VLOOKUP('Subcases Monthly'!$D$4,'ReOpens by Court Division'!$A$4:$EJ$70,117,FALSE))</f>
        <v>0</v>
      </c>
      <c r="I31" s="259">
        <f>IF('Subcases Monthly'!$D$4="","",VLOOKUP('Subcases Monthly'!$D$4,'ReOpens by Court Division'!$A$4:$EJ$70,118,FALSE))</f>
        <v>0</v>
      </c>
      <c r="J31" s="259">
        <f>IF('Subcases Monthly'!$D$4="","",VLOOKUP('Subcases Monthly'!$D$4,'ReOpens by Court Division'!$A$4:$EJ$70,41,FALSE))</f>
        <v>0</v>
      </c>
      <c r="K31" s="259">
        <f>IF('Subcases Monthly'!$D$4="","",VLOOKUP('Subcases Monthly'!$D$4,'ReOpens by Court Division'!$A$4:$EJ$70,120,FALSE))</f>
        <v>0</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148</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2907</v>
      </c>
      <c r="F33" s="212">
        <f t="shared" si="6"/>
        <v>2775</v>
      </c>
      <c r="G33" s="212">
        <f t="shared" si="6"/>
        <v>2394</v>
      </c>
      <c r="H33" s="212">
        <f t="shared" si="6"/>
        <v>0</v>
      </c>
      <c r="I33" s="212">
        <f t="shared" si="6"/>
        <v>0</v>
      </c>
      <c r="J33" s="212">
        <f t="shared" si="6"/>
        <v>0</v>
      </c>
      <c r="K33" s="212">
        <f t="shared" si="6"/>
        <v>0</v>
      </c>
      <c r="L33" s="212">
        <f t="shared" si="6"/>
        <v>0</v>
      </c>
      <c r="M33" s="212">
        <f t="shared" si="6"/>
        <v>0</v>
      </c>
      <c r="N33" s="212">
        <f t="shared" si="6"/>
        <v>0</v>
      </c>
      <c r="O33" s="212">
        <f t="shared" si="6"/>
        <v>0</v>
      </c>
      <c r="P33" s="248">
        <f t="shared" si="6"/>
        <v>0</v>
      </c>
      <c r="Q33" s="262">
        <f t="shared" si="5"/>
        <v>8076</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v>26</v>
      </c>
      <c r="F36" s="173">
        <v>24</v>
      </c>
      <c r="G36" s="173">
        <v>20</v>
      </c>
      <c r="H36" s="173">
        <f>IF('Subcases Monthly'!$D$4="","",VLOOKUP('Subcases Monthly'!$D$4,'NOAs by Court Division'!$A$4:$EJ$70,5,FALSE))</f>
        <v>0</v>
      </c>
      <c r="I36" s="173">
        <f>IF('Subcases Monthly'!$D$4="","",VLOOKUP('Subcases Monthly'!$D$4,'NOAs by Court Division'!$A$4:$EJ$70,6,FALSE))</f>
        <v>0</v>
      </c>
      <c r="J36" s="173">
        <f>IF('Subcases Monthly'!$D$4="","",VLOOKUP('Subcases Monthly'!$D$4,'NOAs by Court Division'!$A$4:$EJ$70,7,FALSE))</f>
        <v>0</v>
      </c>
      <c r="K36" s="173">
        <f>IF('Subcases Monthly'!$D$4="","",VLOOKUP('Subcases Monthly'!$D$4,'NOAs by Court Division'!$A$4:$EJ$70,8,FALSE))</f>
        <v>0</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70</v>
      </c>
    </row>
    <row r="37" spans="1:17" ht="19.5" customHeight="1" x14ac:dyDescent="0.2">
      <c r="B37" s="494" t="s">
        <v>133</v>
      </c>
      <c r="C37" s="476"/>
      <c r="D37" s="476"/>
      <c r="E37" s="141">
        <v>0</v>
      </c>
      <c r="F37" s="142">
        <v>3</v>
      </c>
      <c r="G37" s="142">
        <v>0</v>
      </c>
      <c r="H37" s="142">
        <f>IF('Subcases Monthly'!$D$4="","",VLOOKUP('Subcases Monthly'!$D$4,'NOAs by Court Division'!$A$4:$EJ$70,19,FALSE))</f>
        <v>0</v>
      </c>
      <c r="I37" s="142">
        <f>IF('Subcases Monthly'!$D$4="","",VLOOKUP('Subcases Monthly'!$D$4,'NOAs by Court Division'!$A$4:$EJ$70,20,FALSE))</f>
        <v>0</v>
      </c>
      <c r="J37" s="142">
        <f>IF('Subcases Monthly'!$D$4="","",VLOOKUP('Subcases Monthly'!$D$4,'NOAs by Court Division'!$A$4:$EJ$70,21,FALSE))</f>
        <v>0</v>
      </c>
      <c r="K37" s="142">
        <f>IF('Subcases Monthly'!$D$4="","",VLOOKUP('Subcases Monthly'!$D$4,'NOAs by Court Division'!$A$4:$EJ$70,22,FALSE))</f>
        <v>0</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3</v>
      </c>
    </row>
    <row r="38" spans="1:17" ht="19.5" customHeight="1" x14ac:dyDescent="0.2">
      <c r="B38" s="494" t="s">
        <v>140</v>
      </c>
      <c r="C38" s="476"/>
      <c r="D38" s="476"/>
      <c r="E38" s="255">
        <v>0</v>
      </c>
      <c r="F38" s="256">
        <v>0</v>
      </c>
      <c r="G38" s="256">
        <v>0</v>
      </c>
      <c r="H38" s="256">
        <f>IF('Subcases Monthly'!$D$4="","",VLOOKUP('Subcases Monthly'!$D$4,'NOAs by Court Division'!$A$4:$EJ$70,33,FALSE))</f>
        <v>0</v>
      </c>
      <c r="I38" s="256">
        <f>IF('Subcases Monthly'!$D$4="","",VLOOKUP('Subcases Monthly'!$D$4,'NOAs by Court Division'!$A$4:$EJ$70,34,FALSE))</f>
        <v>0</v>
      </c>
      <c r="J38" s="256">
        <f>IF('Subcases Monthly'!$D$4="","",VLOOKUP('Subcases Monthly'!$D$4,'NOAs by Court Division'!$A$4:$EJ$70,35,FALSE))</f>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0</v>
      </c>
    </row>
    <row r="39" spans="1:17" ht="19.5" customHeight="1" x14ac:dyDescent="0.2">
      <c r="B39" s="494" t="s">
        <v>137</v>
      </c>
      <c r="C39" s="476"/>
      <c r="D39" s="476"/>
      <c r="E39" s="141">
        <v>3</v>
      </c>
      <c r="F39" s="142">
        <v>6</v>
      </c>
      <c r="G39" s="142">
        <v>1</v>
      </c>
      <c r="H39" s="142">
        <f>IF('Subcases Monthly'!$D$4="","",VLOOKUP('Subcases Monthly'!$D$4,'NOAs by Court Division'!$A$4:$EJ$70,47,FALSE))</f>
        <v>0</v>
      </c>
      <c r="I39" s="142">
        <f>IF('Subcases Monthly'!$D$4="","",VLOOKUP('Subcases Monthly'!$D$4,'NOAs by Court Division'!$A$4:$EJ$70,48,FALSE))</f>
        <v>0</v>
      </c>
      <c r="J39" s="142">
        <f>IF('Subcases Monthly'!$D$4="","",VLOOKUP('Subcases Monthly'!$D$4,'NOAs by Court Division'!$A$4:$EJ$70,49,FALSE))</f>
        <v>0</v>
      </c>
      <c r="K39" s="142">
        <f>IF('Subcases Monthly'!$D$4="","",VLOOKUP('Subcases Monthly'!$D$4,'NOAs by Court Division'!$A$4:$EJ$70,50,FALSE))</f>
        <v>0</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10</v>
      </c>
    </row>
    <row r="40" spans="1:17" ht="19.5" customHeight="1" x14ac:dyDescent="0.2">
      <c r="B40" s="494" t="s">
        <v>134</v>
      </c>
      <c r="C40" s="476"/>
      <c r="D40" s="476"/>
      <c r="E40" s="255">
        <v>7</v>
      </c>
      <c r="F40" s="256">
        <v>6</v>
      </c>
      <c r="G40" s="256">
        <v>4</v>
      </c>
      <c r="H40" s="256">
        <f>IF('Subcases Monthly'!$D$4="","",VLOOKUP('Subcases Monthly'!$D$4,'NOAs by Court Division'!$A$4:$EJ$70,61,FALSE))</f>
        <v>0</v>
      </c>
      <c r="I40" s="256">
        <f>IF('Subcases Monthly'!$D$4="","",VLOOKUP('Subcases Monthly'!$D$4,'NOAs by Court Division'!$A$4:$EJ$70,62,FALSE))</f>
        <v>0</v>
      </c>
      <c r="J40" s="256">
        <f>IF('Subcases Monthly'!$D$4="","",VLOOKUP('Subcases Monthly'!$D$4,'NOAs by Court Division'!$A$4:$EJ$70,77,FALSE))</f>
        <v>0</v>
      </c>
      <c r="K40" s="256">
        <f>IF('Subcases Monthly'!$D$4="","",VLOOKUP('Subcases Monthly'!$D$4,'NOAs by Court Division'!$A$4:$EJ$70,64,FALSE))</f>
        <v>0</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17</v>
      </c>
    </row>
    <row r="41" spans="1:17" ht="19.5" customHeight="1" x14ac:dyDescent="0.2">
      <c r="B41" s="494" t="s">
        <v>135</v>
      </c>
      <c r="C41" s="476"/>
      <c r="D41" s="476"/>
      <c r="E41" s="141">
        <v>2</v>
      </c>
      <c r="F41" s="142">
        <v>3</v>
      </c>
      <c r="G41" s="142">
        <v>2</v>
      </c>
      <c r="H41" s="142">
        <f>IF('Subcases Monthly'!$D$4="","",VLOOKUP('Subcases Monthly'!$D$4,'NOAs by Court Division'!$A$4:$EJ$70,75,FALSE))</f>
        <v>0</v>
      </c>
      <c r="I41" s="142">
        <f>IF('Subcases Monthly'!$D$4="","",VLOOKUP('Subcases Monthly'!$D$4,'NOAs by Court Division'!$A$4:$EJ$70,76,FALSE))</f>
        <v>0</v>
      </c>
      <c r="J41" s="142">
        <f>IF('Subcases Monthly'!$D$4="","",VLOOKUP('Subcases Monthly'!$D$4,'NOAs by Court Division'!$A$4:$EJ$70,91,FALSE))</f>
        <v>0</v>
      </c>
      <c r="K41" s="142">
        <f>IF('Subcases Monthly'!$D$4="","",VLOOKUP('Subcases Monthly'!$D$4,'NOAs by Court Division'!$A$4:$EJ$70,78,FALSE))</f>
        <v>0</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7</v>
      </c>
    </row>
    <row r="42" spans="1:17" ht="19.5" customHeight="1" x14ac:dyDescent="0.2">
      <c r="B42" s="494" t="s">
        <v>136</v>
      </c>
      <c r="C42" s="476"/>
      <c r="D42" s="476"/>
      <c r="E42" s="255">
        <v>0</v>
      </c>
      <c r="F42" s="256">
        <v>2</v>
      </c>
      <c r="G42" s="256">
        <v>1</v>
      </c>
      <c r="H42" s="256">
        <f>IF('Subcases Monthly'!$D$4="","",VLOOKUP('Subcases Monthly'!$D$4,'NOAs by Court Division'!$A$4:$EJ$70,89,FALSE))</f>
        <v>0</v>
      </c>
      <c r="I42" s="256">
        <f>IF('Subcases Monthly'!$D$4="","",VLOOKUP('Subcases Monthly'!$D$4,'NOAs by Court Division'!$A$4:$EJ$70,90,FALSE))</f>
        <v>0</v>
      </c>
      <c r="J42" s="256">
        <f>IF('Subcases Monthly'!$D$4="","",VLOOKUP('Subcases Monthly'!$D$4,'NOAs by Court Division'!$A$4:$EJ$70,105,FALSE))</f>
        <v>0</v>
      </c>
      <c r="K42" s="256">
        <f>IF('Subcases Monthly'!$D$4="","",VLOOKUP('Subcases Monthly'!$D$4,'NOAs by Court Division'!$A$4:$EJ$70,92,FALSE))</f>
        <v>0</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3</v>
      </c>
    </row>
    <row r="43" spans="1:17" ht="19.5" customHeight="1" x14ac:dyDescent="0.2">
      <c r="B43" s="494" t="s">
        <v>229</v>
      </c>
      <c r="C43" s="476"/>
      <c r="D43" s="476"/>
      <c r="E43" s="141">
        <v>5</v>
      </c>
      <c r="F43" s="142">
        <v>4</v>
      </c>
      <c r="G43" s="142">
        <v>2</v>
      </c>
      <c r="H43" s="142">
        <f>IF('Subcases Monthly'!$D$4="","",VLOOKUP('Subcases Monthly'!$D$4,'NOAs by Court Division'!$A$4:$EJ$70,103,FALSE))</f>
        <v>0</v>
      </c>
      <c r="I43" s="142">
        <f>IF('Subcases Monthly'!$D$4="","",VLOOKUP('Subcases Monthly'!$D$4,'NOAs by Court Division'!$A$4:$EJ$70,104,FALSE))</f>
        <v>0</v>
      </c>
      <c r="J43" s="142">
        <f>IF('Subcases Monthly'!$D$4="","",VLOOKUP('Subcases Monthly'!$D$4,'NOAs by Court Division'!$A$4:$EJ$70,119,FALSE))</f>
        <v>0</v>
      </c>
      <c r="K43" s="142">
        <f>IF('Subcases Monthly'!$D$4="","",VLOOKUP('Subcases Monthly'!$D$4,'NOAs by Court Division'!$A$4:$EJ$70,106,FALSE))</f>
        <v>0</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11</v>
      </c>
    </row>
    <row r="44" spans="1:17" ht="19.5" customHeight="1" x14ac:dyDescent="0.2">
      <c r="B44" s="494" t="s">
        <v>139</v>
      </c>
      <c r="C44" s="476"/>
      <c r="D44" s="476"/>
      <c r="E44" s="255">
        <v>0</v>
      </c>
      <c r="F44" s="256">
        <v>1</v>
      </c>
      <c r="G44" s="256">
        <v>0</v>
      </c>
      <c r="H44" s="256">
        <f>IF('Subcases Monthly'!$D$4="","",VLOOKUP('Subcases Monthly'!$D$4,'NOAs by Court Division'!$A$4:$EJ$70,117,FALSE))</f>
        <v>0</v>
      </c>
      <c r="I44" s="256">
        <f>IF('Subcases Monthly'!$D$4="","",VLOOKUP('Subcases Monthly'!$D$4,'NOAs by Court Division'!$A$4:$EJ$70,118,FALSE))</f>
        <v>0</v>
      </c>
      <c r="J44" s="256">
        <f>IF('Subcases Monthly'!$D$4="","",VLOOKUP('Subcases Monthly'!$D$4,'NOAs by Court Division'!$A$4:$EJ$70,41,FALSE))</f>
        <v>0</v>
      </c>
      <c r="K44" s="256">
        <f>IF('Subcases Monthly'!$D$4="","",VLOOKUP('Subcases Monthly'!$D$4,'NOAs by Court Division'!$A$4:$EJ$70,120,FALSE))</f>
        <v>0</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1</v>
      </c>
    </row>
    <row r="45" spans="1:17" ht="19.5" customHeight="1" thickBot="1" x14ac:dyDescent="0.25">
      <c r="B45" s="495" t="s">
        <v>138</v>
      </c>
      <c r="C45" s="472"/>
      <c r="D45" s="473"/>
      <c r="E45" s="141">
        <f>IF('Subcases Monthly'!$D$4="","",VLOOKUP('Subcases Monthly'!$D$4,'NOAs by Court Division'!$A$4:$EJ$70,128,FALSE))</f>
        <v>0</v>
      </c>
      <c r="F45" s="142">
        <v>0</v>
      </c>
      <c r="G45" s="142">
        <v>0</v>
      </c>
      <c r="H45" s="142">
        <f>IF('Subcases Monthly'!$D$4="","",VLOOKUP('Subcases Monthly'!$D$4,'NOAs by Court Division'!$A$4:$EJ$70,131,FALSE))</f>
        <v>0</v>
      </c>
      <c r="I45" s="142">
        <f>IF('Subcases Monthly'!$D$4="","",VLOOKUP('Subcases Monthly'!$D$4,'NOAs by Court Division'!$A$4:$EJ$70,132,FALSE))</f>
        <v>0</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0</v>
      </c>
    </row>
    <row r="46" spans="1:17" s="13" customFormat="1" ht="19.5" customHeight="1" thickTop="1" thickBot="1" x14ac:dyDescent="0.25">
      <c r="B46" s="497" t="str">
        <f>"TOTAL "&amp;C35&amp;" ="</f>
        <v>TOTAL NOAs =</v>
      </c>
      <c r="C46" s="474"/>
      <c r="D46" s="475"/>
      <c r="E46" s="211">
        <f t="shared" ref="E46:P46" si="9">SUM(E36:E45)</f>
        <v>43</v>
      </c>
      <c r="F46" s="212">
        <f t="shared" si="9"/>
        <v>49</v>
      </c>
      <c r="G46" s="212">
        <f t="shared" si="9"/>
        <v>30</v>
      </c>
      <c r="H46" s="212">
        <f t="shared" si="9"/>
        <v>0</v>
      </c>
      <c r="I46" s="212">
        <f t="shared" si="9"/>
        <v>0</v>
      </c>
      <c r="J46" s="212">
        <f t="shared" si="9"/>
        <v>0</v>
      </c>
      <c r="K46" s="212">
        <f t="shared" si="9"/>
        <v>0</v>
      </c>
      <c r="L46" s="212">
        <f t="shared" si="9"/>
        <v>0</v>
      </c>
      <c r="M46" s="212">
        <f t="shared" si="9"/>
        <v>0</v>
      </c>
      <c r="N46" s="212">
        <f t="shared" si="9"/>
        <v>0</v>
      </c>
      <c r="O46" s="212">
        <f t="shared" si="9"/>
        <v>0</v>
      </c>
      <c r="P46" s="248">
        <f t="shared" si="9"/>
        <v>0</v>
      </c>
      <c r="Q46" s="262">
        <f t="shared" si="8"/>
        <v>122</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H4" sqref="H4:I4"/>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Brevard</v>
      </c>
      <c r="E4" s="504"/>
      <c r="F4" s="6"/>
      <c r="G4" s="21" t="s">
        <v>303</v>
      </c>
      <c r="H4" s="481" t="s">
        <v>382</v>
      </c>
      <c r="I4" s="481"/>
      <c r="K4" s="21" t="s">
        <v>3</v>
      </c>
      <c r="L4" s="164">
        <v>1</v>
      </c>
      <c r="N4"/>
      <c r="O4"/>
      <c r="R4" s="556" t="s">
        <v>1909</v>
      </c>
      <c r="S4" s="556"/>
    </row>
    <row r="5" spans="1:19" ht="21" customHeight="1" x14ac:dyDescent="0.3">
      <c r="A5" s="6"/>
      <c r="C5" s="21" t="s">
        <v>73</v>
      </c>
      <c r="D5" s="557" t="str">
        <f>IF('Subcases Monthly'!D5="","",'Subcases Monthly'!D5)</f>
        <v xml:space="preserve">Carol Vail </v>
      </c>
      <c r="E5" s="557"/>
      <c r="F5" s="6"/>
      <c r="N5" s="7"/>
      <c r="R5" s="556"/>
      <c r="S5" s="556"/>
    </row>
    <row r="6" spans="1:19" ht="21" customHeight="1" x14ac:dyDescent="0.2">
      <c r="A6" s="6"/>
      <c r="C6" s="21" t="s">
        <v>84</v>
      </c>
      <c r="D6" s="504" t="str">
        <f>IF('Subcases Monthly'!D6="","",'Subcases Monthly'!D6)</f>
        <v>carol.vail@brevardclerk.us</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1577</v>
      </c>
      <c r="H11" s="79">
        <f>SUM('Outputs Monthly'!H10:J10)</f>
        <v>0</v>
      </c>
      <c r="I11" s="79">
        <f>SUM('Outputs Monthly'!K10:M10)</f>
        <v>0</v>
      </c>
      <c r="J11" s="80">
        <f>SUM('Outputs Monthly'!N10:P10)</f>
        <v>0</v>
      </c>
      <c r="K11" s="81">
        <f>SUM(G11:J11)</f>
        <v>1577</v>
      </c>
      <c r="L11" s="538"/>
      <c r="M11" s="512"/>
      <c r="N11" s="509"/>
      <c r="O11" s="512"/>
      <c r="P11" s="509"/>
      <c r="Q11" s="515"/>
      <c r="R11" s="518"/>
      <c r="S11" s="521"/>
    </row>
    <row r="12" spans="1:19" ht="19.5" customHeight="1" thickBot="1" x14ac:dyDescent="0.25">
      <c r="B12" s="528"/>
      <c r="C12" s="529"/>
      <c r="D12" s="113" t="s">
        <v>247</v>
      </c>
      <c r="E12" s="533"/>
      <c r="F12" s="536"/>
      <c r="G12" s="82">
        <v>1540</v>
      </c>
      <c r="H12" s="83">
        <f>IF('Subcases Monthly'!$D$4="","",VLOOKUP('Subcases Monthly'!$D$4,'Timeliness Performance'!$A$4:$DQ$70,3,FALSE))</f>
        <v>0</v>
      </c>
      <c r="I12" s="83">
        <f>IF('Subcases Monthly'!$D$4="","",VLOOKUP('Subcases Monthly'!$D$4,'Timeliness Performance'!$A$4:$DQ$70,4,FALSE))</f>
        <v>0</v>
      </c>
      <c r="J12" s="84"/>
      <c r="K12" s="85">
        <f>SUM(G12:J12)</f>
        <v>1540</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0.97650000000000003</v>
      </c>
      <c r="H13" s="87">
        <f t="shared" ref="H13:K13" si="4">IF(H11=0,1,IFERROR(ROUND(H12/H11,4),0))</f>
        <v>1</v>
      </c>
      <c r="I13" s="87">
        <f t="shared" si="4"/>
        <v>1</v>
      </c>
      <c r="J13" s="88">
        <f t="shared" si="4"/>
        <v>1</v>
      </c>
      <c r="K13" s="89">
        <f t="shared" si="4"/>
        <v>0.97650000000000003</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1636</v>
      </c>
      <c r="H14" s="79">
        <f>SUM('Outputs Monthly'!H11:J11)</f>
        <v>0</v>
      </c>
      <c r="I14" s="79">
        <f>SUM('Outputs Monthly'!K11:M11)</f>
        <v>0</v>
      </c>
      <c r="J14" s="80">
        <f>SUM('Outputs Monthly'!N11:P11)</f>
        <v>0</v>
      </c>
      <c r="K14" s="81">
        <f>SUM(G14:J14)</f>
        <v>1636</v>
      </c>
      <c r="L14" s="538"/>
      <c r="M14" s="512"/>
      <c r="N14" s="509"/>
      <c r="O14" s="512"/>
      <c r="P14" s="509"/>
      <c r="Q14" s="515"/>
      <c r="R14" s="518"/>
      <c r="S14" s="521"/>
    </row>
    <row r="15" spans="1:19" customFormat="1" ht="19.5" customHeight="1" thickBot="1" x14ac:dyDescent="0.25">
      <c r="B15" s="528"/>
      <c r="C15" s="529"/>
      <c r="D15" s="113" t="s">
        <v>259</v>
      </c>
      <c r="E15" s="533"/>
      <c r="F15" s="536"/>
      <c r="G15" s="82">
        <v>1599</v>
      </c>
      <c r="H15" s="83">
        <f>IF('Subcases Monthly'!$D$4="","",VLOOKUP('Subcases Monthly'!$D$4,'Timeliness Performance'!$A$4:$DQ$70,7,FALSE))</f>
        <v>0</v>
      </c>
      <c r="I15" s="83">
        <f>IF('Subcases Monthly'!$D$4="","",VLOOKUP('Subcases Monthly'!$D$4,'Timeliness Performance'!$A$4:$DQ$70,8,FALSE))</f>
        <v>0</v>
      </c>
      <c r="J15" s="84"/>
      <c r="K15" s="85">
        <f>SUM(G15:J15)</f>
        <v>1599</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0.97740000000000005</v>
      </c>
      <c r="H16" s="87">
        <f t="shared" ref="H16" si="5">IF(H14=0,1,IFERROR(ROUND(H15/H14,4),0))</f>
        <v>1</v>
      </c>
      <c r="I16" s="87">
        <f t="shared" ref="I16" si="6">IF(I14=0,1,IFERROR(ROUND(I15/I14,4),0))</f>
        <v>1</v>
      </c>
      <c r="J16" s="88">
        <f t="shared" ref="J16" si="7">IF(J14=0,1,IFERROR(ROUND(J15/J14,4),0))</f>
        <v>1</v>
      </c>
      <c r="K16" s="89">
        <f t="shared" ref="K16" si="8">IF(K14=0,1,IFERROR(ROUND(K15/K14,4),0))</f>
        <v>0.97740000000000005</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271</v>
      </c>
      <c r="H17" s="79">
        <f>SUM('Outputs Monthly'!H12:J12)</f>
        <v>0</v>
      </c>
      <c r="I17" s="79">
        <f>SUM('Outputs Monthly'!K12:M12)</f>
        <v>0</v>
      </c>
      <c r="J17" s="80">
        <f>SUM('Outputs Monthly'!N12:P12)</f>
        <v>0</v>
      </c>
      <c r="K17" s="81">
        <f>SUM(G17:J17)</f>
        <v>271</v>
      </c>
      <c r="L17" s="538"/>
      <c r="M17" s="512"/>
      <c r="N17" s="509"/>
      <c r="O17" s="512"/>
      <c r="P17" s="509"/>
      <c r="Q17" s="515"/>
      <c r="R17" s="518"/>
      <c r="S17" s="521"/>
    </row>
    <row r="18" spans="2:19" customFormat="1" ht="19.5" customHeight="1" thickBot="1" x14ac:dyDescent="0.25">
      <c r="B18" s="528"/>
      <c r="C18" s="529"/>
      <c r="D18" s="113" t="s">
        <v>247</v>
      </c>
      <c r="E18" s="533"/>
      <c r="F18" s="536"/>
      <c r="G18" s="82">
        <v>266</v>
      </c>
      <c r="H18" s="83">
        <f>IF('Subcases Monthly'!$D$4="","",VLOOKUP('Subcases Monthly'!$D$4,'Timeliness Performance'!$A$4:$DQ$70,11,FALSE))</f>
        <v>0</v>
      </c>
      <c r="I18" s="83">
        <f>IF('Subcases Monthly'!$D$4="","",VLOOKUP('Subcases Monthly'!$D$4,'Timeliness Performance'!$A$4:$DQ$70,12,FALSE))</f>
        <v>0</v>
      </c>
      <c r="J18" s="84"/>
      <c r="K18" s="85">
        <f>SUM(G18:J18)</f>
        <v>266</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0.98150000000000004</v>
      </c>
      <c r="H19" s="87">
        <f t="shared" ref="H19" si="9">IF(H17=0,1,IFERROR(ROUND(H18/H17,4),0))</f>
        <v>1</v>
      </c>
      <c r="I19" s="87">
        <f t="shared" ref="I19" si="10">IF(I17=0,1,IFERROR(ROUND(I18/I17,4),0))</f>
        <v>1</v>
      </c>
      <c r="J19" s="88">
        <f t="shared" ref="J19" si="11">IF(J17=0,1,IFERROR(ROUND(J18/J17,4),0))</f>
        <v>1</v>
      </c>
      <c r="K19" s="89">
        <f t="shared" ref="K19" si="12">IF(K17=0,1,IFERROR(ROUND(K18/K17,4),0))</f>
        <v>0.98150000000000004</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2154</v>
      </c>
      <c r="H20" s="79">
        <f>SUM('Outputs Monthly'!H13:J13)</f>
        <v>0</v>
      </c>
      <c r="I20" s="79">
        <f>SUM('Outputs Monthly'!K13:M13)</f>
        <v>0</v>
      </c>
      <c r="J20" s="80">
        <f>SUM('Outputs Monthly'!N13:P13)</f>
        <v>0</v>
      </c>
      <c r="K20" s="81">
        <f>SUM(G20:J20)</f>
        <v>2154</v>
      </c>
      <c r="L20" s="538"/>
      <c r="M20" s="512"/>
      <c r="N20" s="509"/>
      <c r="O20" s="512"/>
      <c r="P20" s="509"/>
      <c r="Q20" s="515"/>
      <c r="R20" s="518"/>
      <c r="S20" s="521"/>
    </row>
    <row r="21" spans="2:19" customFormat="1" ht="19.5" customHeight="1" thickBot="1" x14ac:dyDescent="0.25">
      <c r="B21" s="528"/>
      <c r="C21" s="529"/>
      <c r="D21" s="113" t="s">
        <v>259</v>
      </c>
      <c r="E21" s="533"/>
      <c r="F21" s="536"/>
      <c r="G21" s="82">
        <v>2074</v>
      </c>
      <c r="H21" s="83">
        <f>IF('Subcases Monthly'!$D$4="","",VLOOKUP('Subcases Monthly'!$D$4,'Timeliness Performance'!$A$4:$DQ$70,15,FALSE))</f>
        <v>0</v>
      </c>
      <c r="I21" s="83">
        <f>IF('Subcases Monthly'!$D$4="","",VLOOKUP('Subcases Monthly'!$D$4,'Timeliness Performance'!$A$4:$DQ$70,16,FALSE))</f>
        <v>0</v>
      </c>
      <c r="J21" s="84"/>
      <c r="K21" s="85">
        <f>SUM(G21:J21)</f>
        <v>2074</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0.96289999999999998</v>
      </c>
      <c r="H22" s="87">
        <f t="shared" ref="H22" si="13">IF(H20=0,1,IFERROR(ROUND(H21/H20,4),0))</f>
        <v>1</v>
      </c>
      <c r="I22" s="87">
        <f t="shared" ref="I22" si="14">IF(I20=0,1,IFERROR(ROUND(I21/I20,4),0))</f>
        <v>1</v>
      </c>
      <c r="J22" s="88">
        <f t="shared" ref="J22" si="15">IF(J20=0,1,IFERROR(ROUND(J21/J20,4),0))</f>
        <v>1</v>
      </c>
      <c r="K22" s="89">
        <f t="shared" ref="K22" si="16">IF(K20=0,1,IFERROR(ROUND(K21/K20,4),0))</f>
        <v>0.96289999999999998</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833</v>
      </c>
      <c r="H23" s="79">
        <f>SUM('Outputs Monthly'!H14:J14)</f>
        <v>0</v>
      </c>
      <c r="I23" s="79">
        <f>SUM('Outputs Monthly'!K14:M14)</f>
        <v>0</v>
      </c>
      <c r="J23" s="80">
        <f>SUM('Outputs Monthly'!N14:P14)</f>
        <v>0</v>
      </c>
      <c r="K23" s="81">
        <f>SUM(G23:J23)</f>
        <v>833</v>
      </c>
      <c r="L23" s="538"/>
      <c r="M23" s="512"/>
      <c r="N23" s="509"/>
      <c r="O23" s="512"/>
      <c r="P23" s="509"/>
      <c r="Q23" s="515"/>
      <c r="R23" s="518"/>
      <c r="S23" s="521"/>
    </row>
    <row r="24" spans="2:19" customFormat="1" ht="19.5" customHeight="1" thickBot="1" x14ac:dyDescent="0.25">
      <c r="B24" s="528"/>
      <c r="C24" s="529"/>
      <c r="D24" s="113" t="s">
        <v>247</v>
      </c>
      <c r="E24" s="533"/>
      <c r="F24" s="536"/>
      <c r="G24" s="82">
        <v>697</v>
      </c>
      <c r="H24" s="83">
        <f>IF('Subcases Monthly'!$D$4="","",VLOOKUP('Subcases Monthly'!$D$4,'Timeliness Performance'!$A$4:$DQ$70,19,FALSE))</f>
        <v>0</v>
      </c>
      <c r="I24" s="83">
        <f>IF('Subcases Monthly'!$D$4="","",VLOOKUP('Subcases Monthly'!$D$4,'Timeliness Performance'!$A$4:$DQ$70,20,FALSE))</f>
        <v>0</v>
      </c>
      <c r="J24" s="84"/>
      <c r="K24" s="85">
        <f>SUM(G24:J24)</f>
        <v>697</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0.8367</v>
      </c>
      <c r="H25" s="87">
        <f t="shared" ref="H25" si="17">IF(H23=0,1,IFERROR(ROUND(H24/H23,4),0))</f>
        <v>1</v>
      </c>
      <c r="I25" s="87">
        <f t="shared" ref="I25" si="18">IF(I23=0,1,IFERROR(ROUND(I24/I23,4),0))</f>
        <v>1</v>
      </c>
      <c r="J25" s="88">
        <f t="shared" ref="J25" si="19">IF(J23=0,1,IFERROR(ROUND(J24/J23,4),0))</f>
        <v>1</v>
      </c>
      <c r="K25" s="89">
        <f t="shared" ref="K25" si="20">IF(K23=0,1,IFERROR(ROUND(K24/K23,4),0))</f>
        <v>0.8367</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3544</v>
      </c>
      <c r="H26" s="79">
        <f>SUM('Outputs Monthly'!H15:J15)</f>
        <v>0</v>
      </c>
      <c r="I26" s="79">
        <f>SUM('Outputs Monthly'!K15:M15)</f>
        <v>0</v>
      </c>
      <c r="J26" s="80">
        <f>SUM('Outputs Monthly'!N15:P15)</f>
        <v>0</v>
      </c>
      <c r="K26" s="81">
        <f>SUM(G26:J26)</f>
        <v>3544</v>
      </c>
      <c r="L26" s="538"/>
      <c r="M26" s="512"/>
      <c r="N26" s="509"/>
      <c r="O26" s="512"/>
      <c r="P26" s="509"/>
      <c r="Q26" s="515"/>
      <c r="R26" s="518"/>
      <c r="S26" s="521"/>
    </row>
    <row r="27" spans="2:19" customFormat="1" ht="19.5" customHeight="1" thickBot="1" x14ac:dyDescent="0.25">
      <c r="B27" s="528"/>
      <c r="C27" s="529"/>
      <c r="D27" s="113" t="s">
        <v>247</v>
      </c>
      <c r="E27" s="533"/>
      <c r="F27" s="536"/>
      <c r="G27" s="82">
        <v>3287</v>
      </c>
      <c r="H27" s="83">
        <f>IF('Subcases Monthly'!$D$4="","",VLOOKUP('Subcases Monthly'!$D$4,'Timeliness Performance'!$A$4:$DQ$70,23,FALSE))</f>
        <v>0</v>
      </c>
      <c r="I27" s="83">
        <f>IF('Subcases Monthly'!$D$4="","",VLOOKUP('Subcases Monthly'!$D$4,'Timeliness Performance'!$A$4:$DQ$70,24,FALSE))</f>
        <v>0</v>
      </c>
      <c r="J27" s="84"/>
      <c r="K27" s="85">
        <f>SUM(G27:J27)</f>
        <v>3287</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0.92749999999999999</v>
      </c>
      <c r="H28" s="87">
        <f t="shared" ref="H28" si="21">IF(H26=0,1,IFERROR(ROUND(H27/H26,4),0))</f>
        <v>1</v>
      </c>
      <c r="I28" s="87">
        <f t="shared" ref="I28" si="22">IF(I26=0,1,IFERROR(ROUND(I27/I26,4),0))</f>
        <v>1</v>
      </c>
      <c r="J28" s="88">
        <f t="shared" ref="J28" si="23">IF(J26=0,1,IFERROR(ROUND(J27/J26,4),0))</f>
        <v>1</v>
      </c>
      <c r="K28" s="89">
        <f t="shared" ref="K28" si="24">IF(K26=0,1,IFERROR(ROUND(K27/K26,4),0))</f>
        <v>0.92749999999999999</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1756</v>
      </c>
      <c r="H29" s="79">
        <f>SUM('Outputs Monthly'!H16:J16)</f>
        <v>0</v>
      </c>
      <c r="I29" s="79">
        <f>SUM('Outputs Monthly'!K16:M16)</f>
        <v>0</v>
      </c>
      <c r="J29" s="80">
        <f>SUM('Outputs Monthly'!N16:P16)</f>
        <v>0</v>
      </c>
      <c r="K29" s="81">
        <f>SUM(G29:J29)</f>
        <v>1756</v>
      </c>
      <c r="L29" s="538"/>
      <c r="M29" s="512"/>
      <c r="N29" s="509"/>
      <c r="O29" s="512"/>
      <c r="P29" s="509"/>
      <c r="Q29" s="515"/>
      <c r="R29" s="518"/>
      <c r="S29" s="521"/>
    </row>
    <row r="30" spans="2:19" customFormat="1" ht="19.5" customHeight="1" thickBot="1" x14ac:dyDescent="0.25">
      <c r="B30" s="528"/>
      <c r="C30" s="529"/>
      <c r="D30" s="113" t="s">
        <v>247</v>
      </c>
      <c r="E30" s="533"/>
      <c r="F30" s="536"/>
      <c r="G30" s="82">
        <v>1465</v>
      </c>
      <c r="H30" s="83">
        <f>IF('Subcases Monthly'!$D$4="","",VLOOKUP('Subcases Monthly'!$D$4,'Timeliness Performance'!$A$4:$DQ$70,27,FALSE))</f>
        <v>0</v>
      </c>
      <c r="I30" s="83">
        <f>IF('Subcases Monthly'!$D$4="","",VLOOKUP('Subcases Monthly'!$D$4,'Timeliness Performance'!$A$4:$DQ$70,28,FALSE))</f>
        <v>0</v>
      </c>
      <c r="J30" s="84"/>
      <c r="K30" s="85">
        <f>SUM(G30:J30)</f>
        <v>1465</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0.83430000000000004</v>
      </c>
      <c r="H31" s="87">
        <f t="shared" ref="H31" si="25">IF(H29=0,1,IFERROR(ROUND(H30/H29,4),0))</f>
        <v>1</v>
      </c>
      <c r="I31" s="87">
        <f t="shared" ref="I31" si="26">IF(I29=0,1,IFERROR(ROUND(I30/I29,4),0))</f>
        <v>1</v>
      </c>
      <c r="J31" s="88">
        <f t="shared" ref="J31" si="27">IF(J29=0,1,IFERROR(ROUND(J30/J29,4),0))</f>
        <v>1</v>
      </c>
      <c r="K31" s="89">
        <f t="shared" ref="K31" si="28">IF(K29=0,1,IFERROR(ROUND(K30/K29,4),0))</f>
        <v>0.83430000000000004</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1283</v>
      </c>
      <c r="H32" s="79">
        <f>SUM('Outputs Monthly'!H17:J17)</f>
        <v>0</v>
      </c>
      <c r="I32" s="79">
        <f>SUM('Outputs Monthly'!K17:M17)</f>
        <v>0</v>
      </c>
      <c r="J32" s="80">
        <f>SUM('Outputs Monthly'!N17:P17)</f>
        <v>0</v>
      </c>
      <c r="K32" s="81">
        <f>SUM(G32:J32)</f>
        <v>1283</v>
      </c>
      <c r="L32" s="538"/>
      <c r="M32" s="512"/>
      <c r="N32" s="509"/>
      <c r="O32" s="512"/>
      <c r="P32" s="509"/>
      <c r="Q32" s="515"/>
      <c r="R32" s="518"/>
      <c r="S32" s="521"/>
    </row>
    <row r="33" spans="1:19" customFormat="1" ht="19.5" customHeight="1" thickBot="1" x14ac:dyDescent="0.25">
      <c r="B33" s="528"/>
      <c r="C33" s="529"/>
      <c r="D33" s="113" t="s">
        <v>259</v>
      </c>
      <c r="E33" s="533"/>
      <c r="F33" s="536"/>
      <c r="G33" s="82">
        <v>1241</v>
      </c>
      <c r="H33" s="83">
        <f>IF('Subcases Monthly'!$D$4="","",VLOOKUP('Subcases Monthly'!$D$4,'Timeliness Performance'!$A$4:$DQ$70,31,FALSE))</f>
        <v>0</v>
      </c>
      <c r="I33" s="83">
        <f>IF('Subcases Monthly'!$D$4="","",VLOOKUP('Subcases Monthly'!$D$4,'Timeliness Performance'!$A$4:$DQ$70,32,FALSE))</f>
        <v>0</v>
      </c>
      <c r="J33" s="84"/>
      <c r="K33" s="85">
        <f>SUM(G33:J33)</f>
        <v>1241</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0.96730000000000005</v>
      </c>
      <c r="H34" s="87">
        <f t="shared" ref="H34" si="29">IF(H32=0,1,IFERROR(ROUND(H33/H32,4),0))</f>
        <v>1</v>
      </c>
      <c r="I34" s="87">
        <f t="shared" ref="I34" si="30">IF(I32=0,1,IFERROR(ROUND(I33/I32,4),0))</f>
        <v>1</v>
      </c>
      <c r="J34" s="88">
        <f t="shared" ref="J34" si="31">IF(J32=0,1,IFERROR(ROUND(J33/J32,4),0))</f>
        <v>1</v>
      </c>
      <c r="K34" s="89">
        <f t="shared" ref="K34" si="32">IF(K32=0,1,IFERROR(ROUND(K33/K32,4),0))</f>
        <v>0.96730000000000005</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60</v>
      </c>
      <c r="H35" s="79">
        <f>SUM('Outputs Monthly'!H18:J18)</f>
        <v>0</v>
      </c>
      <c r="I35" s="79">
        <f>SUM('Outputs Monthly'!K18:M18)</f>
        <v>0</v>
      </c>
      <c r="J35" s="80">
        <f>SUM('Outputs Monthly'!N18:P18)</f>
        <v>0</v>
      </c>
      <c r="K35" s="81">
        <f>SUM(G35:J35)</f>
        <v>60</v>
      </c>
      <c r="L35" s="538"/>
      <c r="M35" s="512"/>
      <c r="N35" s="509"/>
      <c r="O35" s="512"/>
      <c r="P35" s="509"/>
      <c r="Q35" s="515"/>
      <c r="R35" s="518"/>
      <c r="S35" s="521"/>
    </row>
    <row r="36" spans="1:19" customFormat="1" ht="19.5" customHeight="1" thickBot="1" x14ac:dyDescent="0.25">
      <c r="B36" s="528"/>
      <c r="C36" s="529"/>
      <c r="D36" s="113" t="s">
        <v>247</v>
      </c>
      <c r="E36" s="533"/>
      <c r="F36" s="536"/>
      <c r="G36" s="82">
        <v>59</v>
      </c>
      <c r="H36" s="83">
        <f>IF('Subcases Monthly'!$D$4="","",VLOOKUP('Subcases Monthly'!$D$4,'Timeliness Performance'!$A$4:$DQ$70,35,FALSE))</f>
        <v>0</v>
      </c>
      <c r="I36" s="83">
        <f>IF('Subcases Monthly'!$D$4="","",VLOOKUP('Subcases Monthly'!$D$4,'Timeliness Performance'!$A$4:$DQ$70,36,FALSE))</f>
        <v>0</v>
      </c>
      <c r="J36" s="84"/>
      <c r="K36" s="85">
        <f>SUM(G36:J36)</f>
        <v>59</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0.98329999999999995</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10718</v>
      </c>
      <c r="H38" s="79">
        <f>SUM('Outputs Monthly'!H19:J19)</f>
        <v>0</v>
      </c>
      <c r="I38" s="79">
        <f>SUM('Outputs Monthly'!K19:M19)</f>
        <v>0</v>
      </c>
      <c r="J38" s="80">
        <f>SUM('Outputs Monthly'!N19:P19)</f>
        <v>0</v>
      </c>
      <c r="K38" s="81">
        <f>SUM(G38:J38)</f>
        <v>10718</v>
      </c>
      <c r="L38" s="538"/>
      <c r="M38" s="512"/>
      <c r="N38" s="509"/>
      <c r="O38" s="512"/>
      <c r="P38" s="509"/>
      <c r="Q38" s="515"/>
      <c r="R38" s="518"/>
      <c r="S38" s="521"/>
    </row>
    <row r="39" spans="1:19" customFormat="1" ht="19.5" customHeight="1" thickBot="1" x14ac:dyDescent="0.25">
      <c r="B39" s="528"/>
      <c r="C39" s="529"/>
      <c r="D39" s="113" t="s">
        <v>267</v>
      </c>
      <c r="E39" s="533"/>
      <c r="F39" s="536"/>
      <c r="G39" s="82">
        <v>10068</v>
      </c>
      <c r="H39" s="83">
        <f>IF('Subcases Monthly'!$D$4="","",VLOOKUP('Subcases Monthly'!$D$4,'Timeliness Performance'!$A$4:$DQ$70,39,FALSE))</f>
        <v>0</v>
      </c>
      <c r="I39" s="83">
        <f>IF('Subcases Monthly'!$D$4="","",VLOOKUP('Subcases Monthly'!$D$4,'Timeliness Performance'!$A$4:$DQ$70,40,FALSE))</f>
        <v>0</v>
      </c>
      <c r="J39" s="84"/>
      <c r="K39" s="85">
        <f>SUM(G39:J39)</f>
        <v>10068</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0.93940000000000001</v>
      </c>
      <c r="H40" s="87">
        <f t="shared" ref="H40" si="37">IF(H38=0,1,IFERROR(ROUND(H39/H38,4),0))</f>
        <v>1</v>
      </c>
      <c r="I40" s="87">
        <f t="shared" ref="I40" si="38">IF(I38=0,1,IFERROR(ROUND(I39/I38,4),0))</f>
        <v>1</v>
      </c>
      <c r="J40" s="88">
        <f t="shared" ref="J40" si="39">IF(J38=0,1,IFERROR(ROUND(J39/J38,4),0))</f>
        <v>1</v>
      </c>
      <c r="K40" s="89">
        <f t="shared" ref="K40" si="40">IF(K38=0,1,IFERROR(ROUND(K39/K38,4),0))</f>
        <v>0.93940000000000001</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v>79766</v>
      </c>
      <c r="H46" s="40">
        <f>IF('Subcases Monthly'!$D$4="","",VLOOKUP('Subcases Monthly'!$D$4,'Timeliness Performance'!$A$4:$DQ$70,44,FALSE))</f>
        <v>0</v>
      </c>
      <c r="I46" s="40">
        <f>IF('Subcases Monthly'!$D$4="","",VLOOKUP('Subcases Monthly'!$D$4,'Timeliness Performance'!$A$4:$DQ$70,46,FALSE))</f>
        <v>0</v>
      </c>
      <c r="J46" s="41"/>
      <c r="K46" s="29">
        <f>SUM(G46:J46)</f>
        <v>79766</v>
      </c>
      <c r="L46" s="538"/>
      <c r="M46" s="512"/>
      <c r="N46" s="509"/>
      <c r="O46" s="512"/>
      <c r="P46" s="509"/>
      <c r="Q46" s="515"/>
      <c r="R46" s="518"/>
      <c r="S46" s="521"/>
    </row>
    <row r="47" spans="1:19" ht="16.5" thickBot="1" x14ac:dyDescent="0.25">
      <c r="B47" s="528"/>
      <c r="C47" s="529"/>
      <c r="D47" s="113" t="s">
        <v>259</v>
      </c>
      <c r="E47" s="533"/>
      <c r="F47" s="536"/>
      <c r="G47" s="36">
        <v>78223</v>
      </c>
      <c r="H47" s="37">
        <f>IF('Subcases Monthly'!$D$4="","",VLOOKUP('Subcases Monthly'!$D$4,'Timeliness Performance'!$A$4:$DQ$70,45,FALSE))</f>
        <v>0</v>
      </c>
      <c r="I47" s="37">
        <f>IF('Subcases Monthly'!$D$4="","",VLOOKUP('Subcases Monthly'!$D$4,'Timeliness Performance'!$A$4:$DQ$70,47,FALSE))</f>
        <v>0</v>
      </c>
      <c r="J47" s="38"/>
      <c r="K47" s="31">
        <f>SUM(G47:J47)</f>
        <v>78223</v>
      </c>
      <c r="L47" s="539"/>
      <c r="M47" s="513"/>
      <c r="N47" s="510"/>
      <c r="O47" s="513"/>
      <c r="P47" s="510"/>
      <c r="Q47" s="516"/>
      <c r="R47" s="519"/>
      <c r="S47" s="522"/>
    </row>
    <row r="48" spans="1:19" ht="17.25" thickTop="1" thickBot="1" x14ac:dyDescent="0.25">
      <c r="B48" s="530"/>
      <c r="C48" s="531"/>
      <c r="D48" s="30" t="s">
        <v>236</v>
      </c>
      <c r="E48" s="534"/>
      <c r="F48" s="537"/>
      <c r="G48" s="32">
        <f>IF(G46=0,1,IFERROR(ROUND(G47/G46,4),0))</f>
        <v>0.98070000000000002</v>
      </c>
      <c r="H48" s="33">
        <f t="shared" ref="H48" si="45">IF(H46=0,1,IFERROR(ROUND(H47/H46,4),0))</f>
        <v>1</v>
      </c>
      <c r="I48" s="33">
        <f t="shared" ref="I48" si="46">IF(I46=0,1,IFERROR(ROUND(I47/I46,4),0))</f>
        <v>1</v>
      </c>
      <c r="J48" s="34">
        <f t="shared" ref="J48" si="47">IF(J46=0,1,IFERROR(ROUND(J47/J46,4),0))</f>
        <v>1</v>
      </c>
      <c r="K48" s="35">
        <f t="shared" ref="K48" si="48">IF(K46=0,1,IFERROR(ROUND(K47/K46,4),0))</f>
        <v>0.98070000000000002</v>
      </c>
      <c r="L48" s="540"/>
      <c r="M48" s="514"/>
      <c r="N48" s="511"/>
      <c r="O48" s="514"/>
      <c r="P48" s="511"/>
      <c r="Q48" s="517"/>
      <c r="R48" s="520"/>
      <c r="S48" s="523"/>
    </row>
    <row r="49" spans="1:19" x14ac:dyDescent="0.2">
      <c r="A49"/>
      <c r="B49" s="526" t="s">
        <v>398</v>
      </c>
      <c r="C49" s="527"/>
      <c r="D49" s="114" t="s">
        <v>243</v>
      </c>
      <c r="E49" s="532">
        <v>0.8</v>
      </c>
      <c r="F49" s="535" t="s">
        <v>256</v>
      </c>
      <c r="G49" s="39">
        <v>26870</v>
      </c>
      <c r="H49" s="40">
        <f>IF('Subcases Monthly'!$D$4="","",VLOOKUP('Subcases Monthly'!$D$4,'Timeliness Performance'!$A$4:$DQ$70,52,FALSE))</f>
        <v>0</v>
      </c>
      <c r="I49" s="40">
        <f>IF('Subcases Monthly'!$D$4="","",VLOOKUP('Subcases Monthly'!$D$4,'Timeliness Performance'!$A$4:$DQ$70,54,FALSE))</f>
        <v>0</v>
      </c>
      <c r="J49" s="41"/>
      <c r="K49" s="29">
        <f>SUM(G49:J49)</f>
        <v>26870</v>
      </c>
      <c r="L49" s="538"/>
      <c r="M49" s="512"/>
      <c r="N49" s="509"/>
      <c r="O49" s="512"/>
      <c r="P49" s="509"/>
      <c r="Q49" s="515"/>
      <c r="R49" s="518"/>
      <c r="S49" s="521"/>
    </row>
    <row r="50" spans="1:19" ht="16.5" thickBot="1" x14ac:dyDescent="0.25">
      <c r="A50"/>
      <c r="B50" s="528"/>
      <c r="C50" s="529"/>
      <c r="D50" s="113" t="s">
        <v>259</v>
      </c>
      <c r="E50" s="533"/>
      <c r="F50" s="536"/>
      <c r="G50" s="36">
        <v>26215</v>
      </c>
      <c r="H50" s="37">
        <f>IF('Subcases Monthly'!$D$4="","",VLOOKUP('Subcases Monthly'!$D$4,'Timeliness Performance'!$A$4:$DQ$70,53,FALSE))</f>
        <v>0</v>
      </c>
      <c r="I50" s="37">
        <f>IF('Subcases Monthly'!$D$4="","",VLOOKUP('Subcases Monthly'!$D$4,'Timeliness Performance'!$A$4:$DQ$70,55,FALSE))</f>
        <v>0</v>
      </c>
      <c r="J50" s="38"/>
      <c r="K50" s="31">
        <f>SUM(G50:J50)</f>
        <v>26215</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0.97560000000000002</v>
      </c>
      <c r="H51" s="33">
        <f t="shared" ref="H51" si="49">IF(H49=0,1,IFERROR(ROUND(H50/H49,4),0))</f>
        <v>1</v>
      </c>
      <c r="I51" s="33">
        <f t="shared" ref="I51" si="50">IF(I49=0,1,IFERROR(ROUND(I50/I49,4),0))</f>
        <v>1</v>
      </c>
      <c r="J51" s="34">
        <f t="shared" ref="J51" si="51">IF(J49=0,1,IFERROR(ROUND(J50/J49,4),0))</f>
        <v>1</v>
      </c>
      <c r="K51" s="35">
        <f t="shared" ref="K51" si="52">IF(K49=0,1,IFERROR(ROUND(K50/K49,4),0))</f>
        <v>0.97560000000000002</v>
      </c>
      <c r="L51" s="540"/>
      <c r="M51" s="514"/>
      <c r="N51" s="511"/>
      <c r="O51" s="514"/>
      <c r="P51" s="511"/>
      <c r="Q51" s="517"/>
      <c r="R51" s="520"/>
      <c r="S51" s="523"/>
    </row>
    <row r="52" spans="1:19" x14ac:dyDescent="0.2">
      <c r="A52"/>
      <c r="B52" s="526" t="s">
        <v>400</v>
      </c>
      <c r="C52" s="527"/>
      <c r="D52" s="114" t="s">
        <v>243</v>
      </c>
      <c r="E52" s="532">
        <v>0.8</v>
      </c>
      <c r="F52" s="535" t="s">
        <v>256</v>
      </c>
      <c r="G52" s="39">
        <v>6422</v>
      </c>
      <c r="H52" s="40">
        <f>IF('Subcases Monthly'!$D$4="","",VLOOKUP('Subcases Monthly'!$D$4,'Timeliness Performance'!$A$4:$DQ$70,60,FALSE))</f>
        <v>0</v>
      </c>
      <c r="I52" s="40">
        <f>IF('Subcases Monthly'!$D$4="","",VLOOKUP('Subcases Monthly'!$D$4,'Timeliness Performance'!$A$4:$DQ$70,62,FALSE))</f>
        <v>0</v>
      </c>
      <c r="J52" s="41"/>
      <c r="K52" s="29">
        <f>SUM(G52:J52)</f>
        <v>6422</v>
      </c>
      <c r="L52" s="538"/>
      <c r="M52" s="512"/>
      <c r="N52" s="509"/>
      <c r="O52" s="512"/>
      <c r="P52" s="509"/>
      <c r="Q52" s="515"/>
      <c r="R52" s="518"/>
      <c r="S52" s="521"/>
    </row>
    <row r="53" spans="1:19" ht="16.5" thickBot="1" x14ac:dyDescent="0.25">
      <c r="A53"/>
      <c r="B53" s="528"/>
      <c r="C53" s="529"/>
      <c r="D53" s="113" t="s">
        <v>259</v>
      </c>
      <c r="E53" s="533"/>
      <c r="F53" s="536"/>
      <c r="G53" s="36">
        <v>6397</v>
      </c>
      <c r="H53" s="37">
        <f>IF('Subcases Monthly'!$D$4="","",VLOOKUP('Subcases Monthly'!$D$4,'Timeliness Performance'!$A$4:$DQ$70,61,FALSE))</f>
        <v>0</v>
      </c>
      <c r="I53" s="37">
        <f>IF('Subcases Monthly'!$D$4="","",VLOOKUP('Subcases Monthly'!$D$4,'Timeliness Performance'!$A$4:$DQ$70,63,FALSE))</f>
        <v>0</v>
      </c>
      <c r="J53" s="38"/>
      <c r="K53" s="31">
        <f>SUM(G53:J53)</f>
        <v>6397</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0.99609999999999999</v>
      </c>
      <c r="H54" s="33">
        <f t="shared" ref="H54" si="53">IF(H52=0,1,IFERROR(ROUND(H53/H52,4),0))</f>
        <v>1</v>
      </c>
      <c r="I54" s="33">
        <f t="shared" ref="I54" si="54">IF(I52=0,1,IFERROR(ROUND(I53/I52,4),0))</f>
        <v>1</v>
      </c>
      <c r="J54" s="34">
        <f t="shared" ref="J54" si="55">IF(J52=0,1,IFERROR(ROUND(J53/J52,4),0))</f>
        <v>1</v>
      </c>
      <c r="K54" s="35">
        <f t="shared" ref="K54" si="56">IF(K52=0,1,IFERROR(ROUND(K53/K52,4),0))</f>
        <v>0.99609999999999999</v>
      </c>
      <c r="L54" s="540"/>
      <c r="M54" s="514"/>
      <c r="N54" s="511"/>
      <c r="O54" s="514"/>
      <c r="P54" s="511"/>
      <c r="Q54" s="517"/>
      <c r="R54" s="520"/>
      <c r="S54" s="523"/>
    </row>
    <row r="55" spans="1:19" x14ac:dyDescent="0.2">
      <c r="A55"/>
      <c r="B55" s="526" t="s">
        <v>257</v>
      </c>
      <c r="C55" s="527"/>
      <c r="D55" s="114" t="s">
        <v>243</v>
      </c>
      <c r="E55" s="532">
        <v>0.8</v>
      </c>
      <c r="F55" s="535" t="s">
        <v>256</v>
      </c>
      <c r="G55" s="39">
        <v>13946</v>
      </c>
      <c r="H55" s="40">
        <f>IF('Subcases Monthly'!$D$4="","",VLOOKUP('Subcases Monthly'!$D$4,'Timeliness Performance'!$A$4:$DQ$70,68,FALSE))</f>
        <v>0</v>
      </c>
      <c r="I55" s="40">
        <f>IF('Subcases Monthly'!$D$4="","",VLOOKUP('Subcases Monthly'!$D$4,'Timeliness Performance'!$A$4:$DQ$70,70,FALSE))</f>
        <v>0</v>
      </c>
      <c r="J55" s="41"/>
      <c r="K55" s="29">
        <f>SUM(G55:J55)</f>
        <v>13946</v>
      </c>
      <c r="L55" s="538"/>
      <c r="M55" s="512"/>
      <c r="N55" s="509"/>
      <c r="O55" s="512"/>
      <c r="P55" s="509"/>
      <c r="Q55" s="515"/>
      <c r="R55" s="518"/>
      <c r="S55" s="521"/>
    </row>
    <row r="56" spans="1:19" ht="16.5" thickBot="1" x14ac:dyDescent="0.25">
      <c r="A56"/>
      <c r="B56" s="528"/>
      <c r="C56" s="529"/>
      <c r="D56" s="113" t="s">
        <v>259</v>
      </c>
      <c r="E56" s="533"/>
      <c r="F56" s="536"/>
      <c r="G56" s="36">
        <v>13127</v>
      </c>
      <c r="H56" s="37">
        <f>IF('Subcases Monthly'!$D$4="","",VLOOKUP('Subcases Monthly'!$D$4,'Timeliness Performance'!$A$4:$DQ$70,69,FALSE))</f>
        <v>0</v>
      </c>
      <c r="I56" s="37">
        <f>IF('Subcases Monthly'!$D$4="","",VLOOKUP('Subcases Monthly'!$D$4,'Timeliness Performance'!$A$4:$DQ$70,71,FALSE))</f>
        <v>0</v>
      </c>
      <c r="J56" s="38"/>
      <c r="K56" s="31">
        <f>SUM(G56:J56)</f>
        <v>13127</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0.94130000000000003</v>
      </c>
      <c r="H57" s="33">
        <f t="shared" ref="H57" si="57">IF(H55=0,1,IFERROR(ROUND(H56/H55,4),0))</f>
        <v>1</v>
      </c>
      <c r="I57" s="33">
        <f t="shared" ref="I57" si="58">IF(I55=0,1,IFERROR(ROUND(I56/I55,4),0))</f>
        <v>1</v>
      </c>
      <c r="J57" s="34">
        <f t="shared" ref="J57" si="59">IF(J55=0,1,IFERROR(ROUND(J56/J55,4),0))</f>
        <v>1</v>
      </c>
      <c r="K57" s="35">
        <f t="shared" ref="K57" si="60">IF(K55=0,1,IFERROR(ROUND(K56/K55,4),0))</f>
        <v>0.94130000000000003</v>
      </c>
      <c r="L57" s="540"/>
      <c r="M57" s="514"/>
      <c r="N57" s="511"/>
      <c r="O57" s="514"/>
      <c r="P57" s="511"/>
      <c r="Q57" s="517"/>
      <c r="R57" s="520"/>
      <c r="S57" s="523"/>
    </row>
    <row r="58" spans="1:19" x14ac:dyDescent="0.2">
      <c r="A58"/>
      <c r="B58" s="526" t="s">
        <v>260</v>
      </c>
      <c r="C58" s="527"/>
      <c r="D58" s="114" t="s">
        <v>243</v>
      </c>
      <c r="E58" s="532">
        <v>0.8</v>
      </c>
      <c r="F58" s="535" t="s">
        <v>256</v>
      </c>
      <c r="G58" s="39">
        <v>55373</v>
      </c>
      <c r="H58" s="40">
        <f>IF('Subcases Monthly'!$D$4="","",VLOOKUP('Subcases Monthly'!$D$4,'Timeliness Performance'!$A$4:$DQ$70,76,FALSE))</f>
        <v>0</v>
      </c>
      <c r="I58" s="40">
        <f>IF('Subcases Monthly'!$D$4="","",VLOOKUP('Subcases Monthly'!$D$4,'Timeliness Performance'!$A$4:$DQ$70,78,FALSE))</f>
        <v>0</v>
      </c>
      <c r="J58" s="41"/>
      <c r="K58" s="29">
        <f>SUM(G58:J58)</f>
        <v>55373</v>
      </c>
      <c r="L58" s="538"/>
      <c r="M58" s="512"/>
      <c r="N58" s="509"/>
      <c r="O58" s="512"/>
      <c r="P58" s="509"/>
      <c r="Q58" s="515"/>
      <c r="R58" s="518"/>
      <c r="S58" s="521"/>
    </row>
    <row r="59" spans="1:19" ht="16.5" thickBot="1" x14ac:dyDescent="0.25">
      <c r="A59"/>
      <c r="B59" s="528"/>
      <c r="C59" s="529"/>
      <c r="D59" s="113" t="s">
        <v>259</v>
      </c>
      <c r="E59" s="533"/>
      <c r="F59" s="536"/>
      <c r="G59" s="36">
        <v>52718</v>
      </c>
      <c r="H59" s="37">
        <f>IF('Subcases Monthly'!$D$4="","",VLOOKUP('Subcases Monthly'!$D$4,'Timeliness Performance'!$A$4:$DQ$70,77,FALSE))</f>
        <v>0</v>
      </c>
      <c r="I59" s="37">
        <f>IF('Subcases Monthly'!$D$4="","",VLOOKUP('Subcases Monthly'!$D$4,'Timeliness Performance'!$A$4:$DQ$70,79,FALSE))</f>
        <v>0</v>
      </c>
      <c r="J59" s="38"/>
      <c r="K59" s="31">
        <f>SUM(G59:J59)</f>
        <v>52718</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0.95209999999999995</v>
      </c>
      <c r="H60" s="33">
        <f t="shared" ref="H60" si="61">IF(H58=0,1,IFERROR(ROUND(H59/H58,4),0))</f>
        <v>1</v>
      </c>
      <c r="I60" s="33">
        <f t="shared" ref="I60" si="62">IF(I58=0,1,IFERROR(ROUND(I59/I58,4),0))</f>
        <v>1</v>
      </c>
      <c r="J60" s="34">
        <f t="shared" ref="J60" si="63">IF(J58=0,1,IFERROR(ROUND(J59/J58,4),0))</f>
        <v>1</v>
      </c>
      <c r="K60" s="35">
        <f t="shared" ref="K60" si="64">IF(K58=0,1,IFERROR(ROUND(K59/K58,4),0))</f>
        <v>0.95209999999999995</v>
      </c>
      <c r="L60" s="540"/>
      <c r="M60" s="514"/>
      <c r="N60" s="511"/>
      <c r="O60" s="514"/>
      <c r="P60" s="511"/>
      <c r="Q60" s="517"/>
      <c r="R60" s="520"/>
      <c r="S60" s="523"/>
    </row>
    <row r="61" spans="1:19" x14ac:dyDescent="0.2">
      <c r="A61"/>
      <c r="B61" s="526" t="s">
        <v>261</v>
      </c>
      <c r="C61" s="527"/>
      <c r="D61" s="114" t="s">
        <v>243</v>
      </c>
      <c r="E61" s="532">
        <v>0.8</v>
      </c>
      <c r="F61" s="535" t="s">
        <v>256</v>
      </c>
      <c r="G61" s="39">
        <v>54015</v>
      </c>
      <c r="H61" s="40">
        <f>IF('Subcases Monthly'!$D$4="","",VLOOKUP('Subcases Monthly'!$D$4,'Timeliness Performance'!$A$4:$DQ$70,84,FALSE))</f>
        <v>0</v>
      </c>
      <c r="I61" s="40">
        <f>IF('Subcases Monthly'!$D$4="","",VLOOKUP('Subcases Monthly'!$D$4,'Timeliness Performance'!$A$4:$DQ$70,86,FALSE))</f>
        <v>0</v>
      </c>
      <c r="J61" s="41"/>
      <c r="K61" s="29">
        <f>SUM(G61:J61)</f>
        <v>54015</v>
      </c>
      <c r="L61" s="538"/>
      <c r="M61" s="512"/>
      <c r="N61" s="509"/>
      <c r="O61" s="512"/>
      <c r="P61" s="509"/>
      <c r="Q61" s="515"/>
      <c r="R61" s="518"/>
      <c r="S61" s="521"/>
    </row>
    <row r="62" spans="1:19" ht="16.5" thickBot="1" x14ac:dyDescent="0.25">
      <c r="A62"/>
      <c r="B62" s="528"/>
      <c r="C62" s="529"/>
      <c r="D62" s="113" t="s">
        <v>259</v>
      </c>
      <c r="E62" s="533"/>
      <c r="F62" s="536"/>
      <c r="G62" s="36">
        <v>48302</v>
      </c>
      <c r="H62" s="37">
        <f>IF('Subcases Monthly'!$D$4="","",VLOOKUP('Subcases Monthly'!$D$4,'Timeliness Performance'!$A$4:$DQ$70,85,FALSE))</f>
        <v>0</v>
      </c>
      <c r="I62" s="37">
        <f>IF('Subcases Monthly'!$D$4="","",VLOOKUP('Subcases Monthly'!$D$4,'Timeliness Performance'!$A$4:$DQ$70,87,FALSE))</f>
        <v>0</v>
      </c>
      <c r="J62" s="38"/>
      <c r="K62" s="31">
        <f>SUM(G62:J62)</f>
        <v>48302</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0.89419999999999999</v>
      </c>
      <c r="H63" s="33">
        <f t="shared" ref="H63" si="65">IF(H61=0,1,IFERROR(ROUND(H62/H61,4),0))</f>
        <v>1</v>
      </c>
      <c r="I63" s="33">
        <f t="shared" ref="I63" si="66">IF(I61=0,1,IFERROR(ROUND(I62/I61,4),0))</f>
        <v>1</v>
      </c>
      <c r="J63" s="34">
        <f t="shared" ref="J63" si="67">IF(J61=0,1,IFERROR(ROUND(J62/J61,4),0))</f>
        <v>1</v>
      </c>
      <c r="K63" s="35">
        <f t="shared" ref="K63" si="68">IF(K61=0,1,IFERROR(ROUND(K62/K61,4),0))</f>
        <v>0.89419999999999999</v>
      </c>
      <c r="L63" s="540"/>
      <c r="M63" s="514"/>
      <c r="N63" s="511"/>
      <c r="O63" s="514"/>
      <c r="P63" s="511"/>
      <c r="Q63" s="517"/>
      <c r="R63" s="520"/>
      <c r="S63" s="523"/>
    </row>
    <row r="64" spans="1:19" x14ac:dyDescent="0.2">
      <c r="A64"/>
      <c r="B64" s="526" t="s">
        <v>262</v>
      </c>
      <c r="C64" s="527"/>
      <c r="D64" s="114" t="s">
        <v>243</v>
      </c>
      <c r="E64" s="532">
        <v>0.8</v>
      </c>
      <c r="F64" s="535" t="s">
        <v>256</v>
      </c>
      <c r="G64" s="39">
        <v>22630</v>
      </c>
      <c r="H64" s="40">
        <f>IF('Subcases Monthly'!$D$4="","",VLOOKUP('Subcases Monthly'!$D$4,'Timeliness Performance'!$A$4:$DQ$70,92,FALSE))</f>
        <v>0</v>
      </c>
      <c r="I64" s="40">
        <f>IF('Subcases Monthly'!$D$4="","",VLOOKUP('Subcases Monthly'!$D$4,'Timeliness Performance'!$A$4:$DQ$70,94,FALSE))</f>
        <v>0</v>
      </c>
      <c r="J64" s="41"/>
      <c r="K64" s="29">
        <f>SUM(G64:J64)</f>
        <v>22630</v>
      </c>
      <c r="L64" s="538"/>
      <c r="M64" s="512"/>
      <c r="N64" s="509"/>
      <c r="O64" s="512"/>
      <c r="P64" s="509"/>
      <c r="Q64" s="515"/>
      <c r="R64" s="518"/>
      <c r="S64" s="521"/>
    </row>
    <row r="65" spans="1:19" ht="16.5" thickBot="1" x14ac:dyDescent="0.25">
      <c r="A65"/>
      <c r="B65" s="528"/>
      <c r="C65" s="529"/>
      <c r="D65" s="113" t="s">
        <v>259</v>
      </c>
      <c r="E65" s="533"/>
      <c r="F65" s="536"/>
      <c r="G65" s="36">
        <v>18388</v>
      </c>
      <c r="H65" s="37">
        <f>IF('Subcases Monthly'!$D$4="","",VLOOKUP('Subcases Monthly'!$D$4,'Timeliness Performance'!$A$4:$DQ$70,93,FALSE))</f>
        <v>0</v>
      </c>
      <c r="I65" s="37">
        <f>IF('Subcases Monthly'!$D$4="","",VLOOKUP('Subcases Monthly'!$D$4,'Timeliness Performance'!$A$4:$DQ$70,95,FALSE))</f>
        <v>0</v>
      </c>
      <c r="J65" s="38"/>
      <c r="K65" s="31">
        <f>SUM(G65:J65)</f>
        <v>18388</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0.8125</v>
      </c>
      <c r="H66" s="33">
        <f t="shared" ref="H66" si="69">IF(H64=0,1,IFERROR(ROUND(H65/H64,4),0))</f>
        <v>1</v>
      </c>
      <c r="I66" s="33">
        <f t="shared" ref="I66" si="70">IF(I64=0,1,IFERROR(ROUND(I65/I64,4),0))</f>
        <v>1</v>
      </c>
      <c r="J66" s="34">
        <f t="shared" ref="J66" si="71">IF(J64=0,1,IFERROR(ROUND(J65/J64,4),0))</f>
        <v>1</v>
      </c>
      <c r="K66" s="35">
        <f t="shared" ref="K66" si="72">IF(K64=0,1,IFERROR(ROUND(K65/K64,4),0))</f>
        <v>0.8125</v>
      </c>
      <c r="L66" s="540"/>
      <c r="M66" s="514"/>
      <c r="N66" s="511"/>
      <c r="O66" s="514"/>
      <c r="P66" s="511"/>
      <c r="Q66" s="517"/>
      <c r="R66" s="520"/>
      <c r="S66" s="523"/>
    </row>
    <row r="67" spans="1:19" x14ac:dyDescent="0.2">
      <c r="A67"/>
      <c r="B67" s="526" t="s">
        <v>263</v>
      </c>
      <c r="C67" s="527"/>
      <c r="D67" s="114" t="s">
        <v>243</v>
      </c>
      <c r="E67" s="532">
        <v>0.8</v>
      </c>
      <c r="F67" s="535" t="s">
        <v>256</v>
      </c>
      <c r="G67" s="39">
        <v>33890</v>
      </c>
      <c r="H67" s="40">
        <f>IF('Subcases Monthly'!$D$4="","",VLOOKUP('Subcases Monthly'!$D$4,'Timeliness Performance'!$A$4:$DQ$70,100,FALSE))</f>
        <v>0</v>
      </c>
      <c r="I67" s="40">
        <f>IF('Subcases Monthly'!$D$4="","",VLOOKUP('Subcases Monthly'!$D$4,'Timeliness Performance'!$A$4:$DQ$70,102,FALSE))</f>
        <v>0</v>
      </c>
      <c r="J67" s="41"/>
      <c r="K67" s="29">
        <f>SUM(G67:J67)</f>
        <v>33890</v>
      </c>
      <c r="L67" s="538"/>
      <c r="M67" s="512"/>
      <c r="N67" s="509"/>
      <c r="O67" s="512"/>
      <c r="P67" s="509"/>
      <c r="Q67" s="515"/>
      <c r="R67" s="518"/>
      <c r="S67" s="521"/>
    </row>
    <row r="68" spans="1:19" ht="16.5" thickBot="1" x14ac:dyDescent="0.25">
      <c r="A68"/>
      <c r="B68" s="528"/>
      <c r="C68" s="529"/>
      <c r="D68" s="113" t="s">
        <v>259</v>
      </c>
      <c r="E68" s="533"/>
      <c r="F68" s="536"/>
      <c r="G68" s="36">
        <v>32620</v>
      </c>
      <c r="H68" s="37">
        <f>IF('Subcases Monthly'!$D$4="","",VLOOKUP('Subcases Monthly'!$D$4,'Timeliness Performance'!$A$4:$DQ$70,101,FALSE))</f>
        <v>0</v>
      </c>
      <c r="I68" s="37">
        <f>IF('Subcases Monthly'!$D$4="","",VLOOKUP('Subcases Monthly'!$D$4,'Timeliness Performance'!$A$4:$DQ$70,103,FALSE))</f>
        <v>0</v>
      </c>
      <c r="J68" s="38"/>
      <c r="K68" s="31">
        <f>SUM(G68:J68)</f>
        <v>32620</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0.96250000000000002</v>
      </c>
      <c r="H69" s="33">
        <f t="shared" ref="H69" si="73">IF(H67=0,1,IFERROR(ROUND(H68/H67,4),0))</f>
        <v>1</v>
      </c>
      <c r="I69" s="33">
        <f t="shared" ref="I69" si="74">IF(I67=0,1,IFERROR(ROUND(I68/I67,4),0))</f>
        <v>1</v>
      </c>
      <c r="J69" s="34">
        <f t="shared" ref="J69" si="75">IF(J67=0,1,IFERROR(ROUND(J68/J67,4),0))</f>
        <v>1</v>
      </c>
      <c r="K69" s="35">
        <f t="shared" ref="K69" si="76">IF(K67=0,1,IFERROR(ROUND(K68/K67,4),0))</f>
        <v>0.96250000000000002</v>
      </c>
      <c r="L69" s="540"/>
      <c r="M69" s="514"/>
      <c r="N69" s="511"/>
      <c r="O69" s="514"/>
      <c r="P69" s="511"/>
      <c r="Q69" s="517"/>
      <c r="R69" s="520"/>
      <c r="S69" s="523"/>
    </row>
    <row r="70" spans="1:19" x14ac:dyDescent="0.2">
      <c r="A70"/>
      <c r="B70" s="526" t="s">
        <v>264</v>
      </c>
      <c r="C70" s="527"/>
      <c r="D70" s="114" t="s">
        <v>243</v>
      </c>
      <c r="E70" s="532">
        <v>0.8</v>
      </c>
      <c r="F70" s="535" t="s">
        <v>256</v>
      </c>
      <c r="G70" s="39">
        <v>831</v>
      </c>
      <c r="H70" s="40">
        <f>IF('Subcases Monthly'!$D$4="","",VLOOKUP('Subcases Monthly'!$D$4,'Timeliness Performance'!$A$4:$DQ$70,108,FALSE))</f>
        <v>0</v>
      </c>
      <c r="I70" s="40">
        <f>IF('Subcases Monthly'!$D$4="","",VLOOKUP('Subcases Monthly'!$D$4,'Timeliness Performance'!$A$4:$DQ$70,110,FALSE))</f>
        <v>0</v>
      </c>
      <c r="J70" s="41"/>
      <c r="K70" s="29">
        <f>SUM(G70:J70)</f>
        <v>831</v>
      </c>
      <c r="L70" s="538"/>
      <c r="M70" s="512"/>
      <c r="N70" s="509"/>
      <c r="O70" s="512"/>
      <c r="P70" s="509"/>
      <c r="Q70" s="515"/>
      <c r="R70" s="518"/>
      <c r="S70" s="521"/>
    </row>
    <row r="71" spans="1:19" ht="16.5" thickBot="1" x14ac:dyDescent="0.25">
      <c r="A71"/>
      <c r="B71" s="528"/>
      <c r="C71" s="529"/>
      <c r="D71" s="113" t="s">
        <v>259</v>
      </c>
      <c r="E71" s="533"/>
      <c r="F71" s="536"/>
      <c r="G71" s="36">
        <v>801</v>
      </c>
      <c r="H71" s="37">
        <f>IF('Subcases Monthly'!$D$4="","",VLOOKUP('Subcases Monthly'!$D$4,'Timeliness Performance'!$A$4:$DQ$70,109,FALSE))</f>
        <v>0</v>
      </c>
      <c r="I71" s="37">
        <f>IF('Subcases Monthly'!$D$4="","",VLOOKUP('Subcases Monthly'!$D$4,'Timeliness Performance'!$A$4:$DQ$70,111,FALSE))</f>
        <v>0</v>
      </c>
      <c r="J71" s="38"/>
      <c r="K71" s="31">
        <f>SUM(G71:J71)</f>
        <v>801</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0.96389999999999998</v>
      </c>
      <c r="H72" s="33">
        <f t="shared" ref="H72" si="77">IF(H70=0,1,IFERROR(ROUND(H71/H70,4),0))</f>
        <v>1</v>
      </c>
      <c r="I72" s="33">
        <f t="shared" ref="I72" si="78">IF(I70=0,1,IFERROR(ROUND(I71/I70,4),0))</f>
        <v>1</v>
      </c>
      <c r="J72" s="34">
        <f t="shared" ref="J72" si="79">IF(J70=0,1,IFERROR(ROUND(J71/J70,4),0))</f>
        <v>1</v>
      </c>
      <c r="K72" s="35">
        <f t="shared" ref="K72" si="80">IF(K70=0,1,IFERROR(ROUND(K71/K70,4),0))</f>
        <v>0.96389999999999998</v>
      </c>
      <c r="L72" s="540"/>
      <c r="M72" s="514"/>
      <c r="N72" s="511"/>
      <c r="O72" s="514"/>
      <c r="P72" s="511"/>
      <c r="Q72" s="517"/>
      <c r="R72" s="520"/>
      <c r="S72" s="523"/>
    </row>
    <row r="73" spans="1:19" x14ac:dyDescent="0.2">
      <c r="A73"/>
      <c r="B73" s="526" t="s">
        <v>265</v>
      </c>
      <c r="C73" s="527"/>
      <c r="D73" s="114" t="s">
        <v>243</v>
      </c>
      <c r="E73" s="532">
        <v>0.8</v>
      </c>
      <c r="F73" s="535" t="s">
        <v>266</v>
      </c>
      <c r="G73" s="39">
        <v>34134</v>
      </c>
      <c r="H73" s="40">
        <f>IF('Subcases Monthly'!$D$4="","",VLOOKUP('Subcases Monthly'!$D$4,'Timeliness Performance'!$A$4:$DQ$70,116,FALSE))</f>
        <v>0</v>
      </c>
      <c r="I73" s="40">
        <f>IF('Subcases Monthly'!$D$4="","",VLOOKUP('Subcases Monthly'!$D$4,'Timeliness Performance'!$A$4:$DQ$70,118,FALSE))</f>
        <v>0</v>
      </c>
      <c r="J73" s="41"/>
      <c r="K73" s="29">
        <f>SUM(G73:J73)</f>
        <v>34134</v>
      </c>
      <c r="L73" s="538"/>
      <c r="M73" s="512"/>
      <c r="N73" s="509"/>
      <c r="O73" s="512"/>
      <c r="P73" s="509"/>
      <c r="Q73" s="515"/>
      <c r="R73" s="518"/>
      <c r="S73" s="521"/>
    </row>
    <row r="74" spans="1:19" ht="16.5" thickBot="1" x14ac:dyDescent="0.25">
      <c r="A74"/>
      <c r="B74" s="528"/>
      <c r="C74" s="529"/>
      <c r="D74" s="113" t="s">
        <v>267</v>
      </c>
      <c r="E74" s="533"/>
      <c r="F74" s="536"/>
      <c r="G74" s="36">
        <v>33108</v>
      </c>
      <c r="H74" s="37">
        <f>IF('Subcases Monthly'!$D$4="","",VLOOKUP('Subcases Monthly'!$D$4,'Timeliness Performance'!$A$4:$DQ$70,117,FALSE))</f>
        <v>0</v>
      </c>
      <c r="I74" s="37">
        <f>IF('Subcases Monthly'!$D$4="","",VLOOKUP('Subcases Monthly'!$D$4,'Timeliness Performance'!$A$4:$DQ$70,119,FALSE))</f>
        <v>0</v>
      </c>
      <c r="J74" s="38"/>
      <c r="K74" s="31">
        <f>SUM(G74:J74)</f>
        <v>33108</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0.96989999999999998</v>
      </c>
      <c r="H75" s="33">
        <f t="shared" ref="H75" si="81">IF(H73=0,1,IFERROR(ROUND(H74/H73,4),0))</f>
        <v>1</v>
      </c>
      <c r="I75" s="33">
        <f t="shared" ref="I75" si="82">IF(I73=0,1,IFERROR(ROUND(I74/I73,4),0))</f>
        <v>1</v>
      </c>
      <c r="J75" s="34">
        <f t="shared" ref="J75" si="83">IF(J73=0,1,IFERROR(ROUND(J74/J73,4),0))</f>
        <v>1</v>
      </c>
      <c r="K75" s="35">
        <f t="shared" ref="K75" si="84">IF(K73=0,1,IFERROR(ROUND(K74/K73,4),0))</f>
        <v>0.96989999999999998</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Brevard</v>
      </c>
      <c r="E4" s="504"/>
      <c r="F4" s="6"/>
      <c r="G4" s="21" t="s">
        <v>226</v>
      </c>
      <c r="H4" s="504" t="str">
        <f>IF('Subcases Monthly'!H4="","",'Subcases Monthly'!H4)</f>
        <v>December</v>
      </c>
      <c r="I4" s="504"/>
      <c r="K4" s="21" t="s">
        <v>3</v>
      </c>
      <c r="L4" s="91">
        <f>IF('Subcases Monthly'!L4="","",'Subcases Monthly'!L4)</f>
        <v>1</v>
      </c>
      <c r="N4"/>
      <c r="O4"/>
      <c r="Q4" s="462" t="str">
        <f>'Subcases Monthly'!Q4</f>
        <v>CCOC Form Version 1
Created: 11/11/2024</v>
      </c>
      <c r="R4" s="462"/>
    </row>
    <row r="5" spans="1:19" ht="24" customHeight="1" x14ac:dyDescent="0.3">
      <c r="A5" s="6"/>
      <c r="C5" s="21" t="s">
        <v>73</v>
      </c>
      <c r="D5" s="505" t="str">
        <f>IF('Subcases Monthly'!D5="","",'Subcases Monthly'!D5)</f>
        <v xml:space="preserve">Carol Vail </v>
      </c>
      <c r="E5" s="505"/>
      <c r="F5" s="6"/>
      <c r="N5" s="7"/>
      <c r="Q5" s="462"/>
      <c r="R5" s="462"/>
    </row>
    <row r="6" spans="1:19" ht="24" customHeight="1" x14ac:dyDescent="0.3">
      <c r="A6" s="6"/>
      <c r="C6" s="21" t="s">
        <v>84</v>
      </c>
      <c r="D6" s="504" t="str">
        <f>IF('Subcases Monthly'!D6="","",'Subcases Monthly'!D6)</f>
        <v>carol.vail@brevardclerk.us</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0</v>
      </c>
      <c r="I11" s="225">
        <f>IF('Subcases Monthly'!I11="","",('Subcases Monthly'!I11*'Subcases Weighted Total (Auto)'!$R11))</f>
        <v>0</v>
      </c>
      <c r="J11" s="225">
        <f>IF('Subcases Monthly'!J11="","",('Subcases Monthly'!J11*'Subcases Weighted Total (Auto)'!$R11))</f>
        <v>0</v>
      </c>
      <c r="K11" s="225">
        <f>IF('Subcases Monthly'!K11="","",('Subcases Monthly'!K11*'Subcases Weighted Total (Auto)'!$R11))</f>
        <v>0</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12008</v>
      </c>
      <c r="R11" s="229">
        <f>LookupData!$A$90</f>
        <v>8</v>
      </c>
      <c r="S11" s="4"/>
    </row>
    <row r="12" spans="1:19" ht="20.100000000000001" customHeight="1" x14ac:dyDescent="0.2">
      <c r="B12" s="190"/>
      <c r="C12" s="476" t="str">
        <f>'Subcases Monthly'!C12:D12</f>
        <v>Appeals (AP cases) filed in Circuit Court (SRS)</v>
      </c>
      <c r="D12" s="477"/>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0</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0</v>
      </c>
      <c r="R12" s="229">
        <f>LookupData!$A$91</f>
        <v>4</v>
      </c>
      <c r="S12" s="4"/>
    </row>
    <row r="13" spans="1:19" ht="20.100000000000001" customHeight="1" x14ac:dyDescent="0.2">
      <c r="B13" s="190"/>
      <c r="C13" s="476" t="str">
        <f>'Subcases Monthly'!C13:D13</f>
        <v>Out of State Fugitive Warrants (Non-SRS)</v>
      </c>
      <c r="D13" s="477"/>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0</v>
      </c>
      <c r="I13" s="225">
        <f>IF('Subcases Monthly'!I13="","",('Subcases Monthly'!I13*'Subcases Weighted Total (Auto)'!$R13))</f>
        <v>0</v>
      </c>
      <c r="J13" s="225">
        <f>IF('Subcases Monthly'!J13="","",('Subcases Monthly'!J13*'Subcases Weighted Total (Auto)'!$R13))</f>
        <v>0</v>
      </c>
      <c r="K13" s="225">
        <f>IF('Subcases Monthly'!K13="","",('Subcases Monthly'!K13*'Subcases Weighted Total (Auto)'!$R13))</f>
        <v>0</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228</v>
      </c>
      <c r="R13" s="229">
        <f>LookupData!$A$92</f>
        <v>3</v>
      </c>
      <c r="S13" s="4"/>
    </row>
    <row r="14" spans="1:19" ht="20.100000000000001" customHeight="1" thickBot="1" x14ac:dyDescent="0.25">
      <c r="B14" s="199"/>
      <c r="C14" s="472" t="str">
        <f>'Subcases Monthly'!C14:D14</f>
        <v>Cases unable to be categorized</v>
      </c>
      <c r="D14" s="473"/>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4075</v>
      </c>
      <c r="F15" s="201">
        <f t="shared" si="2"/>
        <v>4287</v>
      </c>
      <c r="G15" s="201">
        <f t="shared" si="2"/>
        <v>3874</v>
      </c>
      <c r="H15" s="201">
        <f t="shared" si="2"/>
        <v>0</v>
      </c>
      <c r="I15" s="201">
        <f t="shared" si="2"/>
        <v>0</v>
      </c>
      <c r="J15" s="201">
        <f t="shared" si="2"/>
        <v>0</v>
      </c>
      <c r="K15" s="201">
        <f t="shared" si="2"/>
        <v>0</v>
      </c>
      <c r="L15" s="201">
        <f t="shared" si="2"/>
        <v>0</v>
      </c>
      <c r="M15" s="201">
        <f t="shared" si="2"/>
        <v>0</v>
      </c>
      <c r="N15" s="201">
        <f t="shared" si="2"/>
        <v>0</v>
      </c>
      <c r="O15" s="201">
        <f t="shared" si="2"/>
        <v>0</v>
      </c>
      <c r="P15" s="202">
        <f t="shared" si="2"/>
        <v>0</v>
      </c>
      <c r="Q15" s="112">
        <f t="shared" si="1"/>
        <v>12236</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0</v>
      </c>
      <c r="I18" s="93">
        <f>IF('Subcases Monthly'!I18="","",('Subcases Monthly'!I18*'Subcases Weighted Total (Auto)'!$R18))</f>
        <v>0</v>
      </c>
      <c r="J18" s="93">
        <f>IF('Subcases Monthly'!J18="","",('Subcases Monthly'!J18*'Subcases Weighted Total (Auto)'!$R18))</f>
        <v>0</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8519</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0</v>
      </c>
      <c r="I19" s="96">
        <f>IF('Subcases Monthly'!I19="","",('Subcases Monthly'!I19*'Subcases Weighted Total (Auto)'!$R19))</f>
        <v>0</v>
      </c>
      <c r="J19" s="96">
        <f>IF('Subcases Monthly'!J19="","",('Subcases Monthly'!J19*'Subcases Weighted Total (Auto)'!$R19))</f>
        <v>0</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95</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0</v>
      </c>
      <c r="I20" s="99">
        <f>IF('Subcases Monthly'!I20="","",('Subcases Monthly'!I20*'Subcases Weighted Total (Auto)'!$R20))</f>
        <v>0</v>
      </c>
      <c r="J20" s="99">
        <f>IF('Subcases Monthly'!J20="","",('Subcases Monthly'!J20*'Subcases Weighted Total (Auto)'!$R20))</f>
        <v>0</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1194</v>
      </c>
      <c r="R20" s="204">
        <f>LookupData!$A$97</f>
        <v>3</v>
      </c>
      <c r="S20" s="4"/>
    </row>
    <row r="21" spans="1:19" ht="20.100000000000001" customHeight="1" x14ac:dyDescent="0.2">
      <c r="B21" s="190"/>
      <c r="C21" s="476" t="str">
        <f>'Subcases Monthly'!C21:D21</f>
        <v>Out of State Fugitive Warrants (Non-SRS)</v>
      </c>
      <c r="D21" s="477"/>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72" t="str">
        <f>'Subcases Monthly'!C22:D22</f>
        <v>Cases unable to be categorized</v>
      </c>
      <c r="D22" s="473"/>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2939</v>
      </c>
      <c r="F23" s="201">
        <f t="shared" si="5"/>
        <v>3337</v>
      </c>
      <c r="G23" s="201">
        <f t="shared" si="5"/>
        <v>3532</v>
      </c>
      <c r="H23" s="201">
        <f t="shared" si="5"/>
        <v>0</v>
      </c>
      <c r="I23" s="201">
        <f t="shared" si="5"/>
        <v>0</v>
      </c>
      <c r="J23" s="201">
        <f t="shared" si="5"/>
        <v>0</v>
      </c>
      <c r="K23" s="201">
        <f t="shared" si="5"/>
        <v>0</v>
      </c>
      <c r="L23" s="201">
        <f t="shared" si="5"/>
        <v>0</v>
      </c>
      <c r="M23" s="201">
        <f t="shared" si="5"/>
        <v>0</v>
      </c>
      <c r="N23" s="201">
        <f t="shared" si="5"/>
        <v>0</v>
      </c>
      <c r="O23" s="201">
        <f t="shared" si="5"/>
        <v>0</v>
      </c>
      <c r="P23" s="202">
        <f t="shared" si="5"/>
        <v>0</v>
      </c>
      <c r="Q23" s="110">
        <f t="shared" si="4"/>
        <v>9808</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0</v>
      </c>
      <c r="I26" s="93">
        <f>IF('Subcases Monthly'!I26="","",('Subcases Monthly'!I26*'Subcases Weighted Total (Auto)'!$R26))</f>
        <v>0</v>
      </c>
      <c r="J26" s="93">
        <f>IF('Subcases Monthly'!J26="","",('Subcases Monthly'!J26*'Subcases Weighted Total (Auto)'!$R26))</f>
        <v>0</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1869</v>
      </c>
      <c r="R26" s="203">
        <f>LookupData!$A$101</f>
        <v>7</v>
      </c>
      <c r="S26" s="4"/>
    </row>
    <row r="27" spans="1:19" ht="20.100000000000001" customHeight="1" x14ac:dyDescent="0.2">
      <c r="B27" s="190"/>
      <c r="C27" s="476" t="str">
        <f>'Subcases Monthly'!C27:D27</f>
        <v>Non-criminal (1st offense) juvenile sexting cases</v>
      </c>
      <c r="D27" s="477"/>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6</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8</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676</v>
      </c>
      <c r="F30" s="201">
        <f t="shared" si="8"/>
        <v>665</v>
      </c>
      <c r="G30" s="201">
        <f t="shared" si="8"/>
        <v>542</v>
      </c>
      <c r="H30" s="201">
        <f t="shared" si="8"/>
        <v>0</v>
      </c>
      <c r="I30" s="201">
        <f t="shared" si="8"/>
        <v>0</v>
      </c>
      <c r="J30" s="201">
        <f t="shared" si="8"/>
        <v>0</v>
      </c>
      <c r="K30" s="201">
        <f t="shared" si="8"/>
        <v>0</v>
      </c>
      <c r="L30" s="201">
        <f t="shared" si="8"/>
        <v>0</v>
      </c>
      <c r="M30" s="201">
        <f t="shared" si="8"/>
        <v>0</v>
      </c>
      <c r="N30" s="201">
        <f t="shared" si="8"/>
        <v>0</v>
      </c>
      <c r="O30" s="201">
        <f t="shared" si="8"/>
        <v>0</v>
      </c>
      <c r="P30" s="202">
        <f t="shared" si="8"/>
        <v>0</v>
      </c>
      <c r="Q30" s="110">
        <f t="shared" si="7"/>
        <v>1883</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0</v>
      </c>
      <c r="I33" s="93">
        <f>IF('Subcases Monthly'!I33="","",('Subcases Monthly'!I33*'Subcases Weighted Total (Auto)'!$R33))</f>
        <v>0</v>
      </c>
      <c r="J33" s="93">
        <f>IF('Subcases Monthly'!J33="","",('Subcases Monthly'!J33*'Subcases Weighted Total (Auto)'!$R33))</f>
        <v>0</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3423</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0</v>
      </c>
      <c r="I34" s="96">
        <f>IF('Subcases Monthly'!I34="","",('Subcases Monthly'!I34*'Subcases Weighted Total (Auto)'!$R34))</f>
        <v>0</v>
      </c>
      <c r="J34" s="96">
        <f>IF('Subcases Monthly'!J34="","",('Subcases Monthly'!J34*'Subcases Weighted Total (Auto)'!$R34))</f>
        <v>0</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9990</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4416</v>
      </c>
      <c r="F36" s="201">
        <f t="shared" si="11"/>
        <v>4414</v>
      </c>
      <c r="G36" s="201">
        <f t="shared" si="11"/>
        <v>4583</v>
      </c>
      <c r="H36" s="201">
        <f t="shared" si="11"/>
        <v>0</v>
      </c>
      <c r="I36" s="201">
        <f t="shared" si="11"/>
        <v>0</v>
      </c>
      <c r="J36" s="201">
        <f t="shared" si="11"/>
        <v>0</v>
      </c>
      <c r="K36" s="201">
        <f t="shared" si="11"/>
        <v>0</v>
      </c>
      <c r="L36" s="201">
        <f t="shared" si="11"/>
        <v>0</v>
      </c>
      <c r="M36" s="201">
        <f t="shared" si="11"/>
        <v>0</v>
      </c>
      <c r="N36" s="201">
        <f t="shared" si="11"/>
        <v>0</v>
      </c>
      <c r="O36" s="201">
        <f t="shared" si="11"/>
        <v>0</v>
      </c>
      <c r="P36" s="202">
        <f t="shared" si="11"/>
        <v>0</v>
      </c>
      <c r="Q36" s="111">
        <f t="shared" si="10"/>
        <v>13413</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0</v>
      </c>
      <c r="I39" s="93">
        <f>IF('Subcases Monthly'!I39="","",('Subcases Monthly'!I39*'Subcases Weighted Total (Auto)'!$R39))</f>
        <v>0</v>
      </c>
      <c r="J39" s="93">
        <f>IF('Subcases Monthly'!J39="","",('Subcases Monthly'!J39*'Subcases Weighted Total (Auto)'!$R39))</f>
        <v>0</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49</v>
      </c>
      <c r="R39" s="178">
        <f>LookupData!$A$110</f>
        <v>7</v>
      </c>
      <c r="S39" s="4"/>
    </row>
    <row r="40" spans="2:19" ht="20.100000000000001" customHeight="1" x14ac:dyDescent="0.2">
      <c r="B40" s="190" t="str">
        <f>IF('Subcases Monthly'!B40="","",'Subcases Monthly'!B40)</f>
        <v/>
      </c>
      <c r="C40" s="476" t="str">
        <f>'Subcases Monthly'!C40:D40</f>
        <v>Products Liability (SRS)</v>
      </c>
      <c r="D40" s="477"/>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14</v>
      </c>
      <c r="R40" s="179">
        <f>LookupData!$A$111</f>
        <v>7</v>
      </c>
      <c r="S40" s="4"/>
    </row>
    <row r="41" spans="2:19" ht="20.100000000000001" customHeight="1" x14ac:dyDescent="0.2">
      <c r="B41" s="190" t="str">
        <f>IF('Subcases Monthly'!B41="","",'Subcases Monthly'!B41)</f>
        <v/>
      </c>
      <c r="C41" s="476" t="str">
        <f>'Subcases Monthly'!C41:D41</f>
        <v>Auto Negligence (SRS)</v>
      </c>
      <c r="D41" s="477"/>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0</v>
      </c>
      <c r="I41" s="99">
        <f>IF('Subcases Monthly'!I41="","",('Subcases Monthly'!I41*'Subcases Weighted Total (Auto)'!$R41))</f>
        <v>0</v>
      </c>
      <c r="J41" s="99">
        <f>IF('Subcases Monthly'!J41="","",('Subcases Monthly'!J41*'Subcases Weighted Total (Auto)'!$R41))</f>
        <v>0</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1659</v>
      </c>
      <c r="R41" s="179">
        <f>LookupData!$A$112</f>
        <v>7</v>
      </c>
      <c r="S41" s="4"/>
    </row>
    <row r="42" spans="2:19" ht="20.100000000000001" customHeight="1" x14ac:dyDescent="0.2">
      <c r="B42" s="190" t="str">
        <f>IF('Subcases Monthly'!B42="","",'Subcases Monthly'!B42)</f>
        <v/>
      </c>
      <c r="C42" s="476" t="str">
        <f>'Subcases Monthly'!C42:D42</f>
        <v>Condominium (SRS)</v>
      </c>
      <c r="D42" s="477"/>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0</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18</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0</v>
      </c>
      <c r="I43" s="99">
        <f>IF('Subcases Monthly'!I43="","",('Subcases Monthly'!I43*'Subcases Weighted Total (Auto)'!$R43))</f>
        <v>0</v>
      </c>
      <c r="J43" s="99">
        <f>IF('Subcases Monthly'!J43="","",('Subcases Monthly'!J43*'Subcases Weighted Total (Auto)'!$R43))</f>
        <v>0</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924</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79">
        <f>LookupData!$A$115</f>
        <v>7</v>
      </c>
      <c r="S44" s="4"/>
    </row>
    <row r="45" spans="2:19" ht="20.100000000000001" customHeight="1" x14ac:dyDescent="0.2">
      <c r="B45" s="190" t="str">
        <f>IF('Subcases Monthly'!B45="","",'Subcases Monthly'!B45)</f>
        <v/>
      </c>
      <c r="C45" s="476" t="str">
        <f>'Subcases Monthly'!C45:D45</f>
        <v>Other Negligence (SRS)</v>
      </c>
      <c r="D45" s="477"/>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0</v>
      </c>
      <c r="I45" s="99">
        <f>IF('Subcases Monthly'!I45="","",('Subcases Monthly'!I45*'Subcases Weighted Total (Auto)'!$R45))</f>
        <v>0</v>
      </c>
      <c r="J45" s="99">
        <f>IF('Subcases Monthly'!J45="","",('Subcases Monthly'!J45*'Subcases Weighted Total (Auto)'!$R45))</f>
        <v>0</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540</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0</v>
      </c>
      <c r="I46" s="96">
        <f>IF('Subcases Monthly'!I46="","",('Subcases Monthly'!I46*'Subcases Weighted Total (Auto)'!$R46))</f>
        <v>0</v>
      </c>
      <c r="J46" s="96">
        <f>IF('Subcases Monthly'!J46="","",('Subcases Monthly'!J46*'Subcases Weighted Total (Auto)'!$R46))</f>
        <v>0</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56</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0</v>
      </c>
      <c r="I47" s="99">
        <f>IF('Subcases Monthly'!I47="","",('Subcases Monthly'!I47*'Subcases Weighted Total (Auto)'!$R47))</f>
        <v>0</v>
      </c>
      <c r="J47" s="99">
        <f>IF('Subcases Monthly'!J47="","",('Subcases Monthly'!J47*'Subcases Weighted Total (Auto)'!$R47))</f>
        <v>0</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594</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0</v>
      </c>
      <c r="I48" s="96">
        <f>IF('Subcases Monthly'!I48="","",('Subcases Monthly'!I48*'Subcases Weighted Total (Auto)'!$R48))</f>
        <v>0</v>
      </c>
      <c r="J48" s="96">
        <f>IF('Subcases Monthly'!J48="","",('Subcases Monthly'!J48*'Subcases Weighted Total (Auto)'!$R48))</f>
        <v>0</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368</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0</v>
      </c>
      <c r="I49" s="99">
        <f>IF('Subcases Monthly'!I49="","",('Subcases Monthly'!I49*'Subcases Weighted Total (Auto)'!$R49))</f>
        <v>0</v>
      </c>
      <c r="J49" s="99">
        <f>IF('Subcases Monthly'!J49="","",('Subcases Monthly'!J49*'Subcases Weighted Total (Auto)'!$R49))</f>
        <v>0</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402</v>
      </c>
      <c r="R49" s="179">
        <f>LookupData!$A$120</f>
        <v>6</v>
      </c>
      <c r="S49" s="4"/>
    </row>
    <row r="50" spans="1:19" ht="20.100000000000001" customHeight="1" x14ac:dyDescent="0.2">
      <c r="B50" s="190" t="str">
        <f>IF('Subcases Monthly'!B50="","",'Subcases Monthly'!B50)</f>
        <v/>
      </c>
      <c r="C50" s="476" t="str">
        <f>'Subcases Monthly'!C50:D50</f>
        <v>Other Civil (SRS)</v>
      </c>
      <c r="D50" s="477"/>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0</v>
      </c>
      <c r="I50" s="96">
        <f>IF('Subcases Monthly'!I50="","",('Subcases Monthly'!I50*'Subcases Weighted Total (Auto)'!$R50))</f>
        <v>0</v>
      </c>
      <c r="J50" s="96">
        <f>IF('Subcases Monthly'!J50="","",('Subcases Monthly'!J50*'Subcases Weighted Total (Auto)'!$R50))</f>
        <v>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732</v>
      </c>
      <c r="R50" s="179">
        <f>LookupData!$A$121</f>
        <v>6</v>
      </c>
      <c r="S50" s="4"/>
    </row>
    <row r="51" spans="1:19" ht="20.100000000000001" customHeight="1" x14ac:dyDescent="0.2">
      <c r="B51" s="190"/>
      <c r="C51" s="476" t="str">
        <f>'Subcases Monthly'!C51:D51</f>
        <v>Involuntary Civil Commitment of Sexually Violent Predators (SRS)</v>
      </c>
      <c r="D51" s="477"/>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76" t="str">
        <f>'Subcases Monthly'!C52:D52</f>
        <v>Appeals (AP cases) filed in Circuit Court (SRS)</v>
      </c>
      <c r="D52" s="477"/>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76" t="str">
        <f>'Subcases Monthly'!C53:D53</f>
        <v>Writs of Certiorari (SRS)</v>
      </c>
      <c r="D53" s="477"/>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0</v>
      </c>
      <c r="I54" s="96">
        <f>IF('Subcases Monthly'!I54="","",('Subcases Monthly'!I54*'Subcases Weighted Total (Auto)'!$R54))</f>
        <v>0</v>
      </c>
      <c r="J54" s="96">
        <f>IF('Subcases Monthly'!J54="","",('Subcases Monthly'!J54*'Subcases Weighted Total (Auto)'!$R54))</f>
        <v>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19</v>
      </c>
      <c r="R54" s="179">
        <f>LookupData!$A$125</f>
        <v>1</v>
      </c>
      <c r="S54" s="4"/>
    </row>
    <row r="55" spans="1:19" ht="20.100000000000001" customHeight="1" x14ac:dyDescent="0.2">
      <c r="B55" s="190"/>
      <c r="C55" s="476" t="str">
        <f>'Subcases Monthly'!C55:D55</f>
        <v>Transfers of Lien to Security (Non-SRS)</v>
      </c>
      <c r="D55" s="477"/>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0</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9</v>
      </c>
      <c r="R55" s="179">
        <f>LookupData!$A$126</f>
        <v>3</v>
      </c>
      <c r="S55" s="4"/>
    </row>
    <row r="56" spans="1:19" ht="20.100000000000001" customHeight="1" x14ac:dyDescent="0.2">
      <c r="B56" s="190"/>
      <c r="C56" s="476" t="str">
        <f>'Subcases Monthly'!C56:D56</f>
        <v>Civil Contempt for FTA for Jury Duty (Non-SRS)</v>
      </c>
      <c r="D56" s="477"/>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76" t="str">
        <f>'Subcases Monthly'!C57:D57</f>
        <v>Confirmation of Arbitration (Non-SRS)</v>
      </c>
      <c r="D57" s="477"/>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76" t="str">
        <f>'Subcases Monthly'!C58:D58</f>
        <v>Foreign Judgments (Non-SRS)</v>
      </c>
      <c r="D58" s="477"/>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0</v>
      </c>
      <c r="K58" s="448">
        <f>IF('Subcases Monthly'!K58="","",('Subcases Monthly'!K58*'Subcases Weighted Total (Auto)'!$R58))</f>
        <v>0</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21</v>
      </c>
      <c r="R58" s="179">
        <f>LookupData!$A$129</f>
        <v>3</v>
      </c>
      <c r="S58" s="4"/>
    </row>
    <row r="59" spans="1:19" ht="20.100000000000001" customHeight="1" thickBot="1" x14ac:dyDescent="0.25">
      <c r="B59" s="191"/>
      <c r="C59" s="472" t="str">
        <f>'Subcases Monthly'!C59:D59</f>
        <v>Cases unable to be categorized</v>
      </c>
      <c r="D59" s="473"/>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2016</v>
      </c>
      <c r="F60" s="201">
        <f t="shared" si="14"/>
        <v>1539</v>
      </c>
      <c r="G60" s="201">
        <f t="shared" si="14"/>
        <v>1858</v>
      </c>
      <c r="H60" s="201">
        <f t="shared" si="14"/>
        <v>0</v>
      </c>
      <c r="I60" s="201">
        <f t="shared" si="14"/>
        <v>0</v>
      </c>
      <c r="J60" s="201">
        <f t="shared" si="14"/>
        <v>0</v>
      </c>
      <c r="K60" s="201">
        <f t="shared" si="14"/>
        <v>0</v>
      </c>
      <c r="L60" s="201">
        <f t="shared" si="14"/>
        <v>0</v>
      </c>
      <c r="M60" s="201">
        <f t="shared" si="14"/>
        <v>0</v>
      </c>
      <c r="N60" s="201">
        <f t="shared" si="14"/>
        <v>0</v>
      </c>
      <c r="O60" s="201">
        <f t="shared" si="14"/>
        <v>0</v>
      </c>
      <c r="P60" s="202">
        <f t="shared" si="14"/>
        <v>0</v>
      </c>
      <c r="Q60" s="73">
        <f t="shared" si="13"/>
        <v>5413</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0</v>
      </c>
      <c r="I63" s="122">
        <f>IF('Subcases Monthly'!I63="","",('Subcases Monthly'!I63*'Subcases Weighted Total (Auto)'!$R63))</f>
        <v>0</v>
      </c>
      <c r="J63" s="122">
        <f>IF('Subcases Monthly'!J63="","",('Subcases Monthly'!J63*'Subcases Weighted Total (Auto)'!$R63))</f>
        <v>0</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9150</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0</v>
      </c>
      <c r="I64" s="96">
        <f>IF('Subcases Monthly'!I64="","",('Subcases Monthly'!I64*'Subcases Weighted Total (Auto)'!$R64))</f>
        <v>0</v>
      </c>
      <c r="J64" s="96">
        <f>IF('Subcases Monthly'!J64="","",('Subcases Monthly'!J64*'Subcases Weighted Total (Auto)'!$R64))</f>
        <v>0</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2772</v>
      </c>
      <c r="R64" s="204">
        <f>LookupData!$A$133</f>
        <v>6</v>
      </c>
      <c r="S64" s="4"/>
    </row>
    <row r="65" spans="2:19" ht="20.100000000000001" customHeight="1" x14ac:dyDescent="0.2">
      <c r="B65" s="190" t="str">
        <f>IF('Subcases Monthly'!B65="","",'Subcases Monthly'!B65)</f>
        <v/>
      </c>
      <c r="C65" s="476" t="str">
        <f>'Subcases Monthly'!C65:D65</f>
        <v>Civil ($8,001 - $15,000) (SRS)</v>
      </c>
      <c r="D65" s="477"/>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0</v>
      </c>
      <c r="I65" s="99">
        <f>IF('Subcases Monthly'!I65="","",('Subcases Monthly'!I65*'Subcases Weighted Total (Auto)'!$R65))</f>
        <v>0</v>
      </c>
      <c r="J65" s="99">
        <f>IF('Subcases Monthly'!J65="","",('Subcases Monthly'!J65*'Subcases Weighted Total (Auto)'!$R65))</f>
        <v>0</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2215</v>
      </c>
      <c r="R65" s="204">
        <f>LookupData!$A$134</f>
        <v>5</v>
      </c>
      <c r="S65" s="4"/>
    </row>
    <row r="66" spans="2:19" ht="20.100000000000001" customHeight="1" x14ac:dyDescent="0.2">
      <c r="B66" s="190" t="str">
        <f>IF('Subcases Monthly'!B66="","",'Subcases Monthly'!B66)</f>
        <v/>
      </c>
      <c r="C66" s="476" t="str">
        <f>'Subcases Monthly'!C66:D66</f>
        <v>Civil ($15,001 - $30,000) (SRS)</v>
      </c>
      <c r="D66" s="477"/>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0</v>
      </c>
      <c r="I66" s="96">
        <f>IF('Subcases Monthly'!I66="","",('Subcases Monthly'!I66*'Subcases Weighted Total (Auto)'!$R66))</f>
        <v>0</v>
      </c>
      <c r="J66" s="96">
        <f>IF('Subcases Monthly'!J66="","",('Subcases Monthly'!J66*'Subcases Weighted Total (Auto)'!$R66))</f>
        <v>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940</v>
      </c>
      <c r="R66" s="204">
        <f>LookupData!$A$135</f>
        <v>5</v>
      </c>
      <c r="S66" s="4"/>
    </row>
    <row r="67" spans="2:19" ht="20.100000000000001" customHeight="1" x14ac:dyDescent="0.2">
      <c r="B67" s="190"/>
      <c r="C67" s="476" t="str">
        <f>'Subcases Monthly'!C67:D67</f>
        <v>Civil ($30,001 - $50,000) (SRS)</v>
      </c>
      <c r="D67" s="477"/>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0</v>
      </c>
      <c r="I67" s="175">
        <f>IF('Subcases Monthly'!I67="","",('Subcases Monthly'!I67*'Subcases Weighted Total (Auto)'!$R67))</f>
        <v>0</v>
      </c>
      <c r="J67" s="175">
        <f>IF('Subcases Monthly'!J67="","",('Subcases Monthly'!J67*'Subcases Weighted Total (Auto)'!$R67))</f>
        <v>0</v>
      </c>
      <c r="K67" s="175">
        <f>IF('Subcases Monthly'!K67="","",('Subcases Monthly'!K67*'Subcases Weighted Total (Auto)'!$R67))</f>
        <v>0</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575</v>
      </c>
      <c r="R67" s="204">
        <f>LookupData!$A$136</f>
        <v>5</v>
      </c>
      <c r="S67" s="4"/>
    </row>
    <row r="68" spans="2:19" ht="20.100000000000001" customHeight="1" x14ac:dyDescent="0.2">
      <c r="B68" s="190" t="str">
        <f>IF('Subcases Monthly'!B68="","",'Subcases Monthly'!B68)</f>
        <v/>
      </c>
      <c r="C68" s="476" t="str">
        <f>'Subcases Monthly'!C68:D68</f>
        <v>Replevins (SRS)</v>
      </c>
      <c r="D68" s="477"/>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0</v>
      </c>
      <c r="I68" s="96">
        <f>IF('Subcases Monthly'!I68="","",('Subcases Monthly'!I68*'Subcases Weighted Total (Auto)'!$R68))</f>
        <v>0</v>
      </c>
      <c r="J68" s="96">
        <f>IF('Subcases Monthly'!J68="","",('Subcases Monthly'!J68*'Subcases Weighted Total (Auto)'!$R68))</f>
        <v>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48</v>
      </c>
      <c r="R68" s="204">
        <f>LookupData!$A$137</f>
        <v>4</v>
      </c>
      <c r="S68" s="4"/>
    </row>
    <row r="69" spans="2:19" ht="20.100000000000001" customHeight="1" x14ac:dyDescent="0.2">
      <c r="B69" s="190" t="str">
        <f>IF('Subcases Monthly'!B69="","",'Subcases Monthly'!B69)</f>
        <v/>
      </c>
      <c r="C69" s="476" t="str">
        <f>'Subcases Monthly'!C69:D69</f>
        <v>Evictions (SRS)</v>
      </c>
      <c r="D69" s="477"/>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0</v>
      </c>
      <c r="I69" s="99">
        <f>IF('Subcases Monthly'!I69="","",('Subcases Monthly'!I69*'Subcases Weighted Total (Auto)'!$R69))</f>
        <v>0</v>
      </c>
      <c r="J69" s="99">
        <f>IF('Subcases Monthly'!J69="","",('Subcases Monthly'!J69*'Subcases Weighted Total (Auto)'!$R69))</f>
        <v>0</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4734</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0</v>
      </c>
      <c r="I70" s="96">
        <f>IF('Subcases Monthly'!I70="","",('Subcases Monthly'!I70*'Subcases Weighted Total (Auto)'!$R70))</f>
        <v>0</v>
      </c>
      <c r="J70" s="96">
        <f>IF('Subcases Monthly'!J70="","",('Subcases Monthly'!J70*'Subcases Weighted Total (Auto)'!$R70))</f>
        <v>0</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36</v>
      </c>
      <c r="R70" s="204">
        <f>LookupData!$A$139</f>
        <v>4</v>
      </c>
      <c r="S70" s="4"/>
    </row>
    <row r="71" spans="2:19" ht="20.100000000000001" customHeight="1" x14ac:dyDescent="0.2">
      <c r="B71" s="190" t="str">
        <f>IF('Subcases Monthly'!B71="","",'Subcases Monthly'!B71)</f>
        <v/>
      </c>
      <c r="C71" s="476" t="str">
        <f>'Subcases Monthly'!C71:D71</f>
        <v>Foreign Judgments (Non-SRS)</v>
      </c>
      <c r="D71" s="477"/>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0</v>
      </c>
      <c r="I71" s="99">
        <f>IF('Subcases Monthly'!I71="","",('Subcases Monthly'!I71*'Subcases Weighted Total (Auto)'!$R71))</f>
        <v>0</v>
      </c>
      <c r="J71" s="99">
        <f>IF('Subcases Monthly'!J71="","",('Subcases Monthly'!J71*'Subcases Weighted Total (Auto)'!$R71))</f>
        <v>0</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3</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72" t="str">
        <f>'Subcases Monthly'!C73:D73</f>
        <v>Cases unable to be categorized</v>
      </c>
      <c r="D73" s="473"/>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6817</v>
      </c>
      <c r="F74" s="201">
        <f t="shared" si="18"/>
        <v>6884</v>
      </c>
      <c r="G74" s="201">
        <f t="shared" si="18"/>
        <v>6772</v>
      </c>
      <c r="H74" s="201">
        <f t="shared" si="18"/>
        <v>0</v>
      </c>
      <c r="I74" s="201">
        <f t="shared" si="18"/>
        <v>0</v>
      </c>
      <c r="J74" s="201">
        <f t="shared" si="18"/>
        <v>0</v>
      </c>
      <c r="K74" s="201">
        <f t="shared" si="18"/>
        <v>0</v>
      </c>
      <c r="L74" s="201">
        <f t="shared" si="18"/>
        <v>0</v>
      </c>
      <c r="M74" s="201">
        <f t="shared" si="18"/>
        <v>0</v>
      </c>
      <c r="N74" s="201">
        <f t="shared" si="18"/>
        <v>0</v>
      </c>
      <c r="O74" s="201">
        <f t="shared" si="18"/>
        <v>0</v>
      </c>
      <c r="P74" s="202">
        <f t="shared" si="18"/>
        <v>0</v>
      </c>
      <c r="Q74" s="110">
        <f t="shared" si="16"/>
        <v>20473</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0</v>
      </c>
      <c r="I77" s="93">
        <f>IF('Subcases Monthly'!I77="","",('Subcases Monthly'!I77*'Subcases Weighted Total (Auto)'!$R77))</f>
        <v>0</v>
      </c>
      <c r="J77" s="93">
        <f>IF('Subcases Monthly'!J77="","",('Subcases Monthly'!J77*'Subcases Weighted Total (Auto)'!$R77))</f>
        <v>0</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3703</v>
      </c>
      <c r="R77" s="203">
        <f>LookupData!$A$144</f>
        <v>7</v>
      </c>
      <c r="S77" s="4"/>
    </row>
    <row r="78" spans="2:19" ht="20.100000000000001" customHeight="1" x14ac:dyDescent="0.2">
      <c r="B78" s="190" t="str">
        <f>IF('Subcases Monthly'!B78="","",'Subcases Monthly'!B78)</f>
        <v/>
      </c>
      <c r="C78" s="476" t="str">
        <f>'Subcases Monthly'!C78:D78</f>
        <v>Guardianship (SRS)</v>
      </c>
      <c r="D78" s="477"/>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0</v>
      </c>
      <c r="I78" s="96">
        <f>IF('Subcases Monthly'!I78="","",('Subcases Monthly'!I78*'Subcases Weighted Total (Auto)'!$R78))</f>
        <v>0</v>
      </c>
      <c r="J78" s="96">
        <f>IF('Subcases Monthly'!J78="","",('Subcases Monthly'!J78*'Subcases Weighted Total (Auto)'!$R78))</f>
        <v>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800</v>
      </c>
      <c r="R78" s="204">
        <f>LookupData!$A$145</f>
        <v>10</v>
      </c>
      <c r="S78" s="4"/>
    </row>
    <row r="79" spans="2:19" ht="20.100000000000001" customHeight="1" x14ac:dyDescent="0.2">
      <c r="B79" s="190" t="str">
        <f>IF('Subcases Monthly'!B79="","",'Subcases Monthly'!B79)</f>
        <v/>
      </c>
      <c r="C79" s="476" t="str">
        <f>'Subcases Monthly'!C79:D79</f>
        <v>Probate Trust (SRS)</v>
      </c>
      <c r="D79" s="477"/>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0</v>
      </c>
      <c r="J79" s="99">
        <f>IF('Subcases Monthly'!J79="","",('Subcases Monthly'!J79*'Subcases Weighted Total (Auto)'!$R79))</f>
        <v>0</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21</v>
      </c>
      <c r="R79" s="204">
        <f>LookupData!$A$146</f>
        <v>7</v>
      </c>
      <c r="S79" s="4"/>
    </row>
    <row r="80" spans="2:19" ht="20.100000000000001" customHeight="1" x14ac:dyDescent="0.2">
      <c r="B80" s="190" t="str">
        <f>IF('Subcases Monthly'!B80="","",'Subcases Monthly'!B80)</f>
        <v/>
      </c>
      <c r="C80" s="476" t="str">
        <f>'Subcases Monthly'!C80:D80</f>
        <v>Baker Act (SRS)</v>
      </c>
      <c r="D80" s="477"/>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0</v>
      </c>
      <c r="I80" s="96">
        <f>IF('Subcases Monthly'!I80="","",('Subcases Monthly'!I80*'Subcases Weighted Total (Auto)'!$R80))</f>
        <v>0</v>
      </c>
      <c r="J80" s="96">
        <f>IF('Subcases Monthly'!J80="","",('Subcases Monthly'!J80*'Subcases Weighted Total (Auto)'!$R80))</f>
        <v>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852</v>
      </c>
      <c r="R80" s="204">
        <f>LookupData!$A$147</f>
        <v>6</v>
      </c>
      <c r="S80" s="4"/>
    </row>
    <row r="81" spans="1:19" ht="20.100000000000001" customHeight="1" x14ac:dyDescent="0.2">
      <c r="B81" s="190" t="str">
        <f>IF('Subcases Monthly'!B81="","",'Subcases Monthly'!B81)</f>
        <v/>
      </c>
      <c r="C81" s="476" t="str">
        <f>'Subcases Monthly'!C81:D81</f>
        <v>Substance Abuse Act (SRS)</v>
      </c>
      <c r="D81" s="477"/>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0</v>
      </c>
      <c r="I81" s="99">
        <f>IF('Subcases Monthly'!I81="","",('Subcases Monthly'!I81*'Subcases Weighted Total (Auto)'!$R81))</f>
        <v>0</v>
      </c>
      <c r="J81" s="99">
        <f>IF('Subcases Monthly'!J81="","",('Subcases Monthly'!J81*'Subcases Weighted Total (Auto)'!$R81))</f>
        <v>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312</v>
      </c>
      <c r="R81" s="204">
        <f>LookupData!$A$148</f>
        <v>6</v>
      </c>
      <c r="S81" s="4"/>
    </row>
    <row r="82" spans="1:19" ht="20.100000000000001" customHeight="1" x14ac:dyDescent="0.2">
      <c r="B82" s="190" t="str">
        <f>IF('Subcases Monthly'!B82="","",'Subcases Monthly'!B82)</f>
        <v/>
      </c>
      <c r="C82" s="476" t="str">
        <f>'Subcases Monthly'!C82:D82</f>
        <v>Other Social (SRS)</v>
      </c>
      <c r="D82" s="477"/>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0</v>
      </c>
      <c r="I82" s="96">
        <f>IF('Subcases Monthly'!I82="","",('Subcases Monthly'!I82*'Subcases Weighted Total (Auto)'!$R82))</f>
        <v>0</v>
      </c>
      <c r="J82" s="96">
        <f>IF('Subcases Monthly'!J82="","",('Subcases Monthly'!J82*'Subcases Weighted Total (Auto)'!$R82))</f>
        <v>0</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168</v>
      </c>
      <c r="R82" s="204">
        <f>LookupData!$A$149</f>
        <v>4</v>
      </c>
      <c r="S82" s="4"/>
    </row>
    <row r="83" spans="1:19" ht="20.100000000000001" customHeight="1" x14ac:dyDescent="0.2">
      <c r="B83" s="190"/>
      <c r="C83" s="476" t="str">
        <f>'Subcases Monthly'!C83:D83</f>
        <v>Involuntary Civil Commitment of Sexually Violent Predators (SRS)</v>
      </c>
      <c r="D83" s="477"/>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0</v>
      </c>
      <c r="I84" s="96">
        <f>IF('Subcases Monthly'!I84="","",('Subcases Monthly'!I84*'Subcases Weighted Total (Auto)'!$R84))</f>
        <v>0</v>
      </c>
      <c r="J84" s="96">
        <f>IF('Subcases Monthly'!J84="","",('Subcases Monthly'!J84*'Subcases Weighted Total (Auto)'!$R84))</f>
        <v>0</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84</v>
      </c>
      <c r="R84" s="204">
        <f>LookupData!$A$151</f>
        <v>6</v>
      </c>
      <c r="S84" s="4"/>
    </row>
    <row r="85" spans="1:19" ht="20.100000000000001" customHeight="1" x14ac:dyDescent="0.2">
      <c r="B85" s="190" t="str">
        <f>IF('Subcases Monthly'!B85="","",'Subcases Monthly'!B85)</f>
        <v/>
      </c>
      <c r="C85" s="476" t="str">
        <f>'Subcases Monthly'!C85:D85</f>
        <v>Wills on Deposit (Non-SRS)</v>
      </c>
      <c r="D85" s="477"/>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0</v>
      </c>
      <c r="I85" s="99">
        <f>IF('Subcases Monthly'!I85="","",('Subcases Monthly'!I85*'Subcases Weighted Total (Auto)'!$R85))</f>
        <v>0</v>
      </c>
      <c r="J85" s="99">
        <f>IF('Subcases Monthly'!J85="","",('Subcases Monthly'!J85*'Subcases Weighted Total (Auto)'!$R85))</f>
        <v>0</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375</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0</v>
      </c>
      <c r="I86" s="96">
        <f>IF('Subcases Monthly'!I86="","",('Subcases Monthly'!I86*'Subcases Weighted Total (Auto)'!$R86))</f>
        <v>0</v>
      </c>
      <c r="J86" s="96">
        <f>IF('Subcases Monthly'!J86="","",('Subcases Monthly'!J86*'Subcases Weighted Total (Auto)'!$R86))</f>
        <v>0</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397</v>
      </c>
      <c r="R86" s="204">
        <f>LookupData!$A$153</f>
        <v>1</v>
      </c>
      <c r="S86" s="4"/>
    </row>
    <row r="87" spans="1:19" ht="20.100000000000001" customHeight="1" x14ac:dyDescent="0.2">
      <c r="B87" s="190" t="str">
        <f>IF('Subcases Monthly'!B87="","",'Subcases Monthly'!B87)</f>
        <v/>
      </c>
      <c r="C87" s="476" t="str">
        <f>'Subcases Monthly'!C87:D87</f>
        <v>Notice of Trust (Non-SRS)</v>
      </c>
      <c r="D87" s="477"/>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0</v>
      </c>
      <c r="I87" s="99">
        <f>IF('Subcases Monthly'!I87="","",('Subcases Monthly'!I87*'Subcases Weighted Total (Auto)'!$R87))</f>
        <v>0</v>
      </c>
      <c r="J87" s="99">
        <f>IF('Subcases Monthly'!J87="","",('Subcases Monthly'!J87*'Subcases Weighted Total (Auto)'!$R87))</f>
        <v>0</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104</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0</v>
      </c>
      <c r="I88" s="96">
        <f>IF('Subcases Monthly'!I88="","",('Subcases Monthly'!I88*'Subcases Weighted Total (Auto)'!$R88))</f>
        <v>0</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4</v>
      </c>
      <c r="R88" s="204">
        <f>LookupData!$A$155</f>
        <v>2</v>
      </c>
      <c r="S88" s="4"/>
    </row>
    <row r="89" spans="1:19" ht="20.100000000000001" customHeight="1" x14ac:dyDescent="0.2">
      <c r="B89" s="190" t="str">
        <f>IF('Subcases Monthly'!B89="","",'Subcases Monthly'!B89)</f>
        <v/>
      </c>
      <c r="C89" s="476" t="str">
        <f>'Subcases Monthly'!C89:D89</f>
        <v>Caveat (Non-SRS)</v>
      </c>
      <c r="D89" s="477"/>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0</v>
      </c>
      <c r="I89" s="99">
        <f>IF('Subcases Monthly'!I89="","",('Subcases Monthly'!I89*'Subcases Weighted Total (Auto)'!$R89))</f>
        <v>0</v>
      </c>
      <c r="J89" s="99">
        <f>IF('Subcases Monthly'!J89="","",('Subcases Monthly'!J89*'Subcases Weighted Total (Auto)'!$R89))</f>
        <v>0</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30</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0</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6</v>
      </c>
      <c r="R92" s="238">
        <f>LookupData!$A$159</f>
        <v>6</v>
      </c>
      <c r="S92" s="4"/>
    </row>
    <row r="93" spans="1:19" ht="20.100000000000001" customHeight="1" thickBot="1" x14ac:dyDescent="0.25">
      <c r="B93" s="191"/>
      <c r="C93" s="472" t="str">
        <f>'Subcases Monthly'!C93:D93</f>
        <v>Cases unable to be categorized</v>
      </c>
      <c r="D93" s="473"/>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2452</v>
      </c>
      <c r="F94" s="201">
        <f t="shared" si="21"/>
        <v>2243</v>
      </c>
      <c r="G94" s="201">
        <f t="shared" si="21"/>
        <v>2161</v>
      </c>
      <c r="H94" s="201">
        <f t="shared" si="21"/>
        <v>0</v>
      </c>
      <c r="I94" s="201">
        <f t="shared" si="21"/>
        <v>0</v>
      </c>
      <c r="J94" s="201">
        <f t="shared" si="21"/>
        <v>0</v>
      </c>
      <c r="K94" s="201">
        <f t="shared" si="21"/>
        <v>0</v>
      </c>
      <c r="L94" s="201">
        <f t="shared" si="21"/>
        <v>0</v>
      </c>
      <c r="M94" s="201">
        <f t="shared" si="21"/>
        <v>0</v>
      </c>
      <c r="N94" s="201">
        <f t="shared" si="21"/>
        <v>0</v>
      </c>
      <c r="O94" s="201">
        <f t="shared" si="21"/>
        <v>0</v>
      </c>
      <c r="P94" s="202">
        <f t="shared" si="21"/>
        <v>0</v>
      </c>
      <c r="Q94" s="73">
        <f t="shared" si="20"/>
        <v>6856</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0</v>
      </c>
      <c r="I97" s="93">
        <f>IF('Subcases Monthly'!I97="","",('Subcases Monthly'!I97*'Subcases Weighted Total (Auto)'!$R97))</f>
        <v>0</v>
      </c>
      <c r="J97" s="93">
        <f>IF('Subcases Monthly'!J97="","",('Subcases Monthly'!J97*'Subcases Weighted Total (Auto)'!$R97))</f>
        <v>0</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248</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0</v>
      </c>
      <c r="I98" s="96">
        <f>IF('Subcases Monthly'!I98="","",('Subcases Monthly'!I98*'Subcases Weighted Total (Auto)'!$R98))</f>
        <v>0</v>
      </c>
      <c r="J98" s="96">
        <f>IF('Subcases Monthly'!J98="","",('Subcases Monthly'!J98*'Subcases Weighted Total (Auto)'!$R98))</f>
        <v>0</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3663</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0</v>
      </c>
      <c r="I99" s="99">
        <f>IF('Subcases Monthly'!I99="","",('Subcases Monthly'!I99*'Subcases Weighted Total (Auto)'!$R99))</f>
        <v>0</v>
      </c>
      <c r="J99" s="99">
        <f>IF('Subcases Monthly'!J99="","",('Subcases Monthly'!J99*'Subcases Weighted Total (Auto)'!$R99))</f>
        <v>0</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2742</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0</v>
      </c>
      <c r="I100" s="96">
        <f>IF('Subcases Monthly'!I100="","",('Subcases Monthly'!I100*'Subcases Weighted Total (Auto)'!$R100))</f>
        <v>0</v>
      </c>
      <c r="J100" s="96">
        <f>IF('Subcases Monthly'!J100="","",('Subcases Monthly'!J100*'Subcases Weighted Total (Auto)'!$R100))</f>
        <v>0</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224</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0</v>
      </c>
      <c r="I101" s="99">
        <f>IF('Subcases Monthly'!I101="","",('Subcases Monthly'!I101*'Subcases Weighted Total (Auto)'!$R101))</f>
        <v>0</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18</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0</v>
      </c>
      <c r="I102" s="96">
        <f>IF('Subcases Monthly'!I102="","",('Subcases Monthly'!I102*'Subcases Weighted Total (Auto)'!$R102))</f>
        <v>0</v>
      </c>
      <c r="J102" s="96">
        <f>IF('Subcases Monthly'!J102="","",('Subcases Monthly'!J102*'Subcases Weighted Total (Auto)'!$R102))</f>
        <v>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190</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0</v>
      </c>
      <c r="I103" s="99">
        <f>IF('Subcases Monthly'!I103="","",('Subcases Monthly'!I103*'Subcases Weighted Total (Auto)'!$R103))</f>
        <v>0</v>
      </c>
      <c r="J103" s="99">
        <f>IF('Subcases Monthly'!J103="","",('Subcases Monthly'!J103*'Subcases Weighted Total (Auto)'!$R103))</f>
        <v>0</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196</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0</v>
      </c>
      <c r="I104" s="96">
        <f>IF('Subcases Monthly'!I104="","",('Subcases Monthly'!I104*'Subcases Weighted Total (Auto)'!$R104))</f>
        <v>0</v>
      </c>
      <c r="J104" s="96">
        <f>IF('Subcases Monthly'!J104="","",('Subcases Monthly'!J104*'Subcases Weighted Total (Auto)'!$R104))</f>
        <v>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290</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0</v>
      </c>
      <c r="I105" s="99">
        <f>IF('Subcases Monthly'!I105="","",('Subcases Monthly'!I105*'Subcases Weighted Total (Auto)'!$R105))</f>
        <v>0</v>
      </c>
      <c r="J105" s="99">
        <f>IF('Subcases Monthly'!J105="","",('Subcases Monthly'!J105*'Subcases Weighted Total (Auto)'!$R105))</f>
        <v>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497</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0</v>
      </c>
      <c r="I106" s="96">
        <f>IF('Subcases Monthly'!I106="","",('Subcases Monthly'!I106*'Subcases Weighted Total (Auto)'!$R106))</f>
        <v>0</v>
      </c>
      <c r="J106" s="96">
        <f>IF('Subcases Monthly'!J106="","",('Subcases Monthly'!J106*'Subcases Weighted Total (Auto)'!$R106))</f>
        <v>0</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220</v>
      </c>
      <c r="R106" s="238">
        <f>LookupData!$A$171</f>
        <v>2</v>
      </c>
      <c r="S106" s="4"/>
    </row>
    <row r="107" spans="1:19" ht="20.100000000000001" customHeight="1" thickBot="1" x14ac:dyDescent="0.25">
      <c r="A107" s="8"/>
      <c r="B107" s="191"/>
      <c r="C107" s="472" t="str">
        <f>'Subcases Monthly'!C107:D107</f>
        <v>Cases unable to be categorized</v>
      </c>
      <c r="D107" s="473"/>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3064</v>
      </c>
      <c r="F108" s="201">
        <f t="shared" ref="F108:P108" si="24">SUM(F97:F107)</f>
        <v>2648</v>
      </c>
      <c r="G108" s="201">
        <f t="shared" si="24"/>
        <v>2576</v>
      </c>
      <c r="H108" s="201">
        <f t="shared" si="24"/>
        <v>0</v>
      </c>
      <c r="I108" s="201">
        <f t="shared" si="24"/>
        <v>0</v>
      </c>
      <c r="J108" s="201">
        <f t="shared" si="24"/>
        <v>0</v>
      </c>
      <c r="K108" s="201">
        <f t="shared" si="24"/>
        <v>0</v>
      </c>
      <c r="L108" s="201">
        <f t="shared" si="24"/>
        <v>0</v>
      </c>
      <c r="M108" s="201">
        <f t="shared" si="24"/>
        <v>0</v>
      </c>
      <c r="N108" s="201">
        <f t="shared" si="24"/>
        <v>0</v>
      </c>
      <c r="O108" s="201">
        <f t="shared" si="24"/>
        <v>0</v>
      </c>
      <c r="P108" s="202">
        <f t="shared" si="24"/>
        <v>0</v>
      </c>
      <c r="Q108" s="69">
        <f t="shared" si="23"/>
        <v>8288</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0</v>
      </c>
      <c r="I111" s="93">
        <f>IF('Subcases Monthly'!I111="","",('Subcases Monthly'!I111*'Subcases Weighted Total (Auto)'!$R111))</f>
        <v>0</v>
      </c>
      <c r="J111" s="93">
        <f>IF('Subcases Monthly'!J111="","",('Subcases Monthly'!J111*'Subcases Weighted Total (Auto)'!$R111))</f>
        <v>0</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477</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76" t="str">
        <f>'Subcases Monthly'!C113:D113</f>
        <v>CINS/FINS (SRS)</v>
      </c>
      <c r="D113" s="477"/>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0</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0</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0</v>
      </c>
      <c r="I115" s="99">
        <f>IF('Subcases Monthly'!I115="","",('Subcases Monthly'!I115*'Subcases Weighted Total (Auto)'!$R115))</f>
        <v>0</v>
      </c>
      <c r="J115" s="99">
        <f>IF('Subcases Monthly'!J115="","",('Subcases Monthly'!J115*'Subcases Weighted Total (Auto)'!$R115))</f>
        <v>0</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24</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147</v>
      </c>
      <c r="F120" s="201">
        <f t="shared" ref="F120:P120" si="27">SUM(F111:F119)</f>
        <v>170</v>
      </c>
      <c r="G120" s="201">
        <f t="shared" si="27"/>
        <v>187</v>
      </c>
      <c r="H120" s="201">
        <f t="shared" si="27"/>
        <v>0</v>
      </c>
      <c r="I120" s="201">
        <f t="shared" si="27"/>
        <v>0</v>
      </c>
      <c r="J120" s="201">
        <f t="shared" si="27"/>
        <v>0</v>
      </c>
      <c r="K120" s="201">
        <f t="shared" si="27"/>
        <v>0</v>
      </c>
      <c r="L120" s="201">
        <f t="shared" si="27"/>
        <v>0</v>
      </c>
      <c r="M120" s="201">
        <f t="shared" si="27"/>
        <v>0</v>
      </c>
      <c r="N120" s="201">
        <f t="shared" si="27"/>
        <v>0</v>
      </c>
      <c r="O120" s="201">
        <f t="shared" si="27"/>
        <v>0</v>
      </c>
      <c r="P120" s="202">
        <f t="shared" si="27"/>
        <v>0</v>
      </c>
      <c r="Q120" s="110">
        <f t="shared" si="26"/>
        <v>504</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0</v>
      </c>
      <c r="I123" s="183">
        <f>IF('Subcases Monthly'!I123="","",('Subcases Monthly'!I123*'Subcases Weighted Total (Auto)'!$R123))</f>
        <v>0</v>
      </c>
      <c r="J123" s="183">
        <f>IF('Subcases Monthly'!J123="","",('Subcases Monthly'!J123*'Subcases Weighted Total (Auto)'!$R123))</f>
        <v>0</v>
      </c>
      <c r="K123" s="183">
        <f>IF('Subcases Monthly'!K123="","",('Subcases Monthly'!K123*'Subcases Weighted Total (Auto)'!$R123))</f>
        <v>0</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16077</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4890</v>
      </c>
      <c r="F124" s="64">
        <f t="shared" si="30"/>
        <v>5538</v>
      </c>
      <c r="G124" s="64">
        <f t="shared" si="30"/>
        <v>5649</v>
      </c>
      <c r="H124" s="64">
        <f t="shared" si="30"/>
        <v>0</v>
      </c>
      <c r="I124" s="64">
        <f t="shared" si="30"/>
        <v>0</v>
      </c>
      <c r="J124" s="64">
        <f t="shared" si="30"/>
        <v>0</v>
      </c>
      <c r="K124" s="64">
        <f t="shared" si="30"/>
        <v>0</v>
      </c>
      <c r="L124" s="64">
        <f t="shared" si="30"/>
        <v>0</v>
      </c>
      <c r="M124" s="64">
        <f t="shared" si="30"/>
        <v>0</v>
      </c>
      <c r="N124" s="64">
        <f t="shared" si="30"/>
        <v>0</v>
      </c>
      <c r="O124" s="64">
        <f t="shared" si="30"/>
        <v>0</v>
      </c>
      <c r="P124" s="77">
        <f t="shared" si="30"/>
        <v>0</v>
      </c>
      <c r="Q124" s="110">
        <f t="shared" si="29"/>
        <v>16077</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December</v>
      </c>
      <c r="C9" s="43" t="str">
        <f>IF('Subcases Monthly'!H4="",TEXT(EDATE(B5,-1),"MMMM"),'Subcases Monthly'!H4)</f>
        <v>December</v>
      </c>
      <c r="G9" s="47">
        <v>8</v>
      </c>
      <c r="L9" s="48"/>
    </row>
    <row r="10" spans="1:15" x14ac:dyDescent="0.25">
      <c r="A10" s="49" t="s">
        <v>115</v>
      </c>
      <c r="B10" s="43" t="str">
        <f>E1&amp;" "&amp;B1&amp;" "&amp;B9&amp;" Ver"&amp;B8&amp;" "&amp;TEXT(B5,"Mmddyy")&amp;".xlsx"</f>
        <v>Brevard Outputs December VerCarol Vail  012025.xlsx</v>
      </c>
      <c r="G10" s="47">
        <v>9</v>
      </c>
      <c r="L10" s="48"/>
    </row>
    <row r="11" spans="1:15" x14ac:dyDescent="0.25">
      <c r="A11" s="49" t="s">
        <v>117</v>
      </c>
      <c r="B11" s="43" t="str">
        <f>"R:\!CFY"&amp;(N2-2000)&amp;""&amp;(N2-1999)&amp;"\Incoming Reports\Outputs\"&amp;B9&amp;"\"</f>
        <v>R:\!CFY2425\Incoming Reports\Outputs\December\</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0</v>
      </c>
      <c r="K21" s="187">
        <f>'Subcases Monthly'!I11</f>
        <v>0</v>
      </c>
      <c r="L21" s="187">
        <f>'Subcases Monthly'!J11</f>
        <v>0</v>
      </c>
      <c r="M21" s="187">
        <f>'Subcases Monthly'!K11</f>
        <v>0</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0</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0</v>
      </c>
      <c r="K23" s="187">
        <f>'Subcases Monthly'!I13</f>
        <v>0</v>
      </c>
      <c r="L23" s="187">
        <f>'Subcases Monthly'!J13</f>
        <v>0</v>
      </c>
      <c r="M23" s="187">
        <f>'Subcases Monthly'!K13</f>
        <v>0</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0</v>
      </c>
      <c r="K25" s="187">
        <f>'Subcases Monthly'!I18</f>
        <v>0</v>
      </c>
      <c r="L25" s="187">
        <f>'Subcases Monthly'!J18</f>
        <v>0</v>
      </c>
      <c r="M25" s="187">
        <f>'Subcases Monthly'!K18</f>
        <v>0</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0</v>
      </c>
      <c r="K26" s="187">
        <f>'Subcases Monthly'!I19</f>
        <v>0</v>
      </c>
      <c r="L26" s="187">
        <f>'Subcases Monthly'!J19</f>
        <v>0</v>
      </c>
      <c r="M26" s="187">
        <f>'Subcases Monthly'!K19</f>
        <v>0</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0</v>
      </c>
      <c r="K27" s="187">
        <f>'Subcases Monthly'!I20</f>
        <v>0</v>
      </c>
      <c r="L27" s="187">
        <f>'Subcases Monthly'!J20</f>
        <v>0</v>
      </c>
      <c r="M27" s="187">
        <f>'Subcases Monthly'!K20</f>
        <v>0</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0</v>
      </c>
      <c r="L29" s="187">
        <f>'Subcases Monthly'!J22</f>
        <v>0</v>
      </c>
      <c r="M29" s="187">
        <f>'Subcases Monthly'!K22</f>
        <v>0</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0</v>
      </c>
      <c r="K30" s="187">
        <f>'Subcases Monthly'!I26</f>
        <v>0</v>
      </c>
      <c r="L30" s="187">
        <f>'Subcases Monthly'!J26</f>
        <v>0</v>
      </c>
      <c r="M30" s="187">
        <f>'Subcases Monthly'!K26</f>
        <v>0</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0</v>
      </c>
      <c r="M31" s="187">
        <f>'Subcases Monthly'!K27</f>
        <v>0</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0</v>
      </c>
      <c r="K32" s="187">
        <f>'Subcases Monthly'!I28</f>
        <v>0</v>
      </c>
      <c r="L32" s="187">
        <f>'Subcases Monthly'!J28</f>
        <v>0</v>
      </c>
      <c r="M32" s="187">
        <f>'Subcases Monthly'!K28</f>
        <v>0</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0</v>
      </c>
      <c r="K34" s="187">
        <f>'Subcases Monthly'!I33</f>
        <v>0</v>
      </c>
      <c r="L34" s="187">
        <f>'Subcases Monthly'!J33</f>
        <v>0</v>
      </c>
      <c r="M34" s="187">
        <f>'Subcases Monthly'!K33</f>
        <v>0</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0</v>
      </c>
      <c r="K35" s="187">
        <f>'Subcases Monthly'!I34</f>
        <v>0</v>
      </c>
      <c r="L35" s="187">
        <f>'Subcases Monthly'!J34</f>
        <v>0</v>
      </c>
      <c r="M35" s="187">
        <f>'Subcases Monthly'!K34</f>
        <v>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0</v>
      </c>
      <c r="K37" s="187">
        <f>'Subcases Monthly'!I39</f>
        <v>0</v>
      </c>
      <c r="L37" s="187">
        <f>'Subcases Monthly'!J39</f>
        <v>0</v>
      </c>
      <c r="M37" s="187">
        <f>'Subcases Monthly'!K39</f>
        <v>0</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0</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0</v>
      </c>
      <c r="K39" s="187">
        <f>'Subcases Monthly'!I41</f>
        <v>0</v>
      </c>
      <c r="L39" s="187">
        <f>'Subcases Monthly'!J41</f>
        <v>0</v>
      </c>
      <c r="M39" s="187">
        <f>'Subcases Monthly'!K41</f>
        <v>0</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0</v>
      </c>
      <c r="M40" s="187">
        <f>'Subcases Monthly'!K42</f>
        <v>0</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0</v>
      </c>
      <c r="K41" s="187">
        <f>'Subcases Monthly'!I43</f>
        <v>0</v>
      </c>
      <c r="L41" s="187">
        <f>'Subcases Monthly'!J43</f>
        <v>0</v>
      </c>
      <c r="M41" s="187">
        <f>'Subcases Monthly'!K43</f>
        <v>0</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0</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0</v>
      </c>
      <c r="K43" s="187">
        <f>'Subcases Monthly'!I45</f>
        <v>0</v>
      </c>
      <c r="L43" s="187">
        <f>'Subcases Monthly'!J45</f>
        <v>0</v>
      </c>
      <c r="M43" s="187">
        <f>'Subcases Monthly'!K45</f>
        <v>0</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0</v>
      </c>
      <c r="K44" s="187">
        <f>'Subcases Monthly'!I46</f>
        <v>0</v>
      </c>
      <c r="L44" s="187">
        <f>'Subcases Monthly'!J46</f>
        <v>0</v>
      </c>
      <c r="M44" s="187">
        <f>'Subcases Monthly'!K46</f>
        <v>0</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0</v>
      </c>
      <c r="K45" s="187">
        <f>'Subcases Monthly'!I47</f>
        <v>0</v>
      </c>
      <c r="L45" s="187">
        <f>'Subcases Monthly'!J47</f>
        <v>0</v>
      </c>
      <c r="M45" s="187">
        <f>'Subcases Monthly'!K47</f>
        <v>0</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0</v>
      </c>
      <c r="K46" s="187">
        <f>'Subcases Monthly'!I48</f>
        <v>0</v>
      </c>
      <c r="L46" s="187">
        <f>'Subcases Monthly'!J48</f>
        <v>0</v>
      </c>
      <c r="M46" s="187">
        <f>'Subcases Monthly'!K48</f>
        <v>0</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0</v>
      </c>
      <c r="K47" s="187">
        <f>'Subcases Monthly'!I49</f>
        <v>0</v>
      </c>
      <c r="L47" s="187">
        <f>'Subcases Monthly'!J49</f>
        <v>0</v>
      </c>
      <c r="M47" s="187">
        <f>'Subcases Monthly'!K49</f>
        <v>0</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0</v>
      </c>
      <c r="K48" s="187">
        <f>'Subcases Monthly'!I50</f>
        <v>0</v>
      </c>
      <c r="L48" s="187">
        <f>'Subcases Monthly'!J50</f>
        <v>0</v>
      </c>
      <c r="M48" s="187">
        <f>'Subcases Monthly'!K50</f>
        <v>0</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0</v>
      </c>
      <c r="K52" s="187">
        <f>'Subcases Monthly'!I54</f>
        <v>0</v>
      </c>
      <c r="L52" s="187">
        <f>'Subcases Monthly'!J54</f>
        <v>0</v>
      </c>
      <c r="M52" s="187">
        <f>'Subcases Monthly'!K54</f>
        <v>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0</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0</v>
      </c>
      <c r="M56" s="187">
        <f>'Subcases Monthly'!K58</f>
        <v>0</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0</v>
      </c>
      <c r="K58" s="187">
        <f>'Subcases Monthly'!I63</f>
        <v>0</v>
      </c>
      <c r="L58" s="187">
        <f>'Subcases Monthly'!J63</f>
        <v>0</v>
      </c>
      <c r="M58" s="187">
        <f>'Subcases Monthly'!K63</f>
        <v>0</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0</v>
      </c>
      <c r="K59" s="187">
        <f>'Subcases Monthly'!I64</f>
        <v>0</v>
      </c>
      <c r="L59" s="187">
        <f>'Subcases Monthly'!J64</f>
        <v>0</v>
      </c>
      <c r="M59" s="187">
        <f>'Subcases Monthly'!K64</f>
        <v>0</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0</v>
      </c>
      <c r="K60" s="187">
        <f>'Subcases Monthly'!I65</f>
        <v>0</v>
      </c>
      <c r="L60" s="187">
        <f>'Subcases Monthly'!J65</f>
        <v>0</v>
      </c>
      <c r="M60" s="187">
        <f>'Subcases Monthly'!K65</f>
        <v>0</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0</v>
      </c>
      <c r="K61" s="187">
        <f>'Subcases Monthly'!I66</f>
        <v>0</v>
      </c>
      <c r="L61" s="187">
        <f>'Subcases Monthly'!J66</f>
        <v>0</v>
      </c>
      <c r="M61" s="187">
        <f>'Subcases Monthly'!K66</f>
        <v>0</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0</v>
      </c>
      <c r="K62" s="187">
        <f>'Subcases Monthly'!I67</f>
        <v>0</v>
      </c>
      <c r="L62" s="187">
        <f>'Subcases Monthly'!J67</f>
        <v>0</v>
      </c>
      <c r="M62" s="187">
        <f>'Subcases Monthly'!K67</f>
        <v>0</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0</v>
      </c>
      <c r="K63" s="187">
        <f>'Subcases Monthly'!I68</f>
        <v>0</v>
      </c>
      <c r="L63" s="187">
        <f>'Subcases Monthly'!J68</f>
        <v>0</v>
      </c>
      <c r="M63" s="187">
        <f>'Subcases Monthly'!K68</f>
        <v>0</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0</v>
      </c>
      <c r="K64" s="187">
        <f>'Subcases Monthly'!I69</f>
        <v>0</v>
      </c>
      <c r="L64" s="187">
        <f>'Subcases Monthly'!J69</f>
        <v>0</v>
      </c>
      <c r="M64" s="187">
        <f>'Subcases Monthly'!K69</f>
        <v>0</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0</v>
      </c>
      <c r="K65" s="187">
        <f>'Subcases Monthly'!I70</f>
        <v>0</v>
      </c>
      <c r="L65" s="187">
        <f>'Subcases Monthly'!J70</f>
        <v>0</v>
      </c>
      <c r="M65" s="187">
        <f>'Subcases Monthly'!K70</f>
        <v>0</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0</v>
      </c>
      <c r="K66" s="187">
        <f>'Subcases Monthly'!I71</f>
        <v>0</v>
      </c>
      <c r="L66" s="187">
        <f>'Subcases Monthly'!J71</f>
        <v>0</v>
      </c>
      <c r="M66" s="187">
        <f>'Subcases Monthly'!K71</f>
        <v>0</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0</v>
      </c>
      <c r="K69" s="187">
        <f>'Subcases Monthly'!I77</f>
        <v>0</v>
      </c>
      <c r="L69" s="187">
        <f>'Subcases Monthly'!J77</f>
        <v>0</v>
      </c>
      <c r="M69" s="187">
        <f>'Subcases Monthly'!K77</f>
        <v>0</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0</v>
      </c>
      <c r="K70" s="187">
        <f>'Subcases Monthly'!I78</f>
        <v>0</v>
      </c>
      <c r="L70" s="187">
        <f>'Subcases Monthly'!J78</f>
        <v>0</v>
      </c>
      <c r="M70" s="187">
        <f>'Subcases Monthly'!K78</f>
        <v>0</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0</v>
      </c>
      <c r="L71" s="187">
        <f>'Subcases Monthly'!J79</f>
        <v>0</v>
      </c>
      <c r="M71" s="187">
        <f>'Subcases Monthly'!K79</f>
        <v>0</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0</v>
      </c>
      <c r="K72" s="187">
        <f>'Subcases Monthly'!I80</f>
        <v>0</v>
      </c>
      <c r="L72" s="187">
        <f>'Subcases Monthly'!J80</f>
        <v>0</v>
      </c>
      <c r="M72" s="187">
        <f>'Subcases Monthly'!K80</f>
        <v>0</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0</v>
      </c>
      <c r="K73" s="187">
        <f>'Subcases Monthly'!I81</f>
        <v>0</v>
      </c>
      <c r="L73" s="187">
        <f>'Subcases Monthly'!J81</f>
        <v>0</v>
      </c>
      <c r="M73" s="187">
        <f>'Subcases Monthly'!K81</f>
        <v>0</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0</v>
      </c>
      <c r="K74" s="187">
        <f>'Subcases Monthly'!I82</f>
        <v>0</v>
      </c>
      <c r="L74" s="187">
        <f>'Subcases Monthly'!J82</f>
        <v>0</v>
      </c>
      <c r="M74" s="187">
        <f>'Subcases Monthly'!K82</f>
        <v>0</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0</v>
      </c>
      <c r="K76" s="187">
        <f>'Subcases Monthly'!I84</f>
        <v>0</v>
      </c>
      <c r="L76" s="187">
        <f>'Subcases Monthly'!J84</f>
        <v>0</v>
      </c>
      <c r="M76" s="187">
        <f>'Subcases Monthly'!K84</f>
        <v>0</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0</v>
      </c>
      <c r="K77" s="187">
        <f>'Subcases Monthly'!I85</f>
        <v>0</v>
      </c>
      <c r="L77" s="187">
        <f>'Subcases Monthly'!J85</f>
        <v>0</v>
      </c>
      <c r="M77" s="187">
        <f>'Subcases Monthly'!K85</f>
        <v>0</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0</v>
      </c>
      <c r="K78" s="187">
        <f>'Subcases Monthly'!I86</f>
        <v>0</v>
      </c>
      <c r="L78" s="187">
        <f>'Subcases Monthly'!J86</f>
        <v>0</v>
      </c>
      <c r="M78" s="187">
        <f>'Subcases Monthly'!K86</f>
        <v>0</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0</v>
      </c>
      <c r="K79" s="187">
        <f>'Subcases Monthly'!I87</f>
        <v>0</v>
      </c>
      <c r="L79" s="187">
        <f>'Subcases Monthly'!J87</f>
        <v>0</v>
      </c>
      <c r="M79" s="187">
        <f>'Subcases Monthly'!K87</f>
        <v>0</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0</v>
      </c>
      <c r="K80" s="187">
        <f>'Subcases Monthly'!I88</f>
        <v>0</v>
      </c>
      <c r="L80" s="187">
        <f>'Subcases Monthly'!J88</f>
        <v>0</v>
      </c>
      <c r="M80" s="187">
        <f>'Subcases Monthly'!K88</f>
        <v>0</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0</v>
      </c>
      <c r="K81" s="187">
        <f>'Subcases Monthly'!I89</f>
        <v>0</v>
      </c>
      <c r="L81" s="187">
        <f>'Subcases Monthly'!J89</f>
        <v>0</v>
      </c>
      <c r="M81" s="187">
        <f>'Subcases Monthly'!K89</f>
        <v>0</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0</v>
      </c>
      <c r="M84" s="187">
        <f>'Subcases Monthly'!K92</f>
        <v>0</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0</v>
      </c>
      <c r="K86" s="187">
        <f>'Subcases Monthly'!I97</f>
        <v>0</v>
      </c>
      <c r="L86" s="187">
        <f>'Subcases Monthly'!J97</f>
        <v>0</v>
      </c>
      <c r="M86" s="187">
        <f>'Subcases Monthly'!K97</f>
        <v>0</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0</v>
      </c>
      <c r="K87" s="187">
        <f>'Subcases Monthly'!I98</f>
        <v>0</v>
      </c>
      <c r="L87" s="187">
        <f>'Subcases Monthly'!J98</f>
        <v>0</v>
      </c>
      <c r="M87" s="187">
        <f>'Subcases Monthly'!K98</f>
        <v>0</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0</v>
      </c>
      <c r="K88" s="187">
        <f>'Subcases Monthly'!I99</f>
        <v>0</v>
      </c>
      <c r="L88" s="187">
        <f>'Subcases Monthly'!J99</f>
        <v>0</v>
      </c>
      <c r="M88" s="187">
        <f>'Subcases Monthly'!K99</f>
        <v>0</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0</v>
      </c>
      <c r="K89" s="187">
        <f>'Subcases Monthly'!I100</f>
        <v>0</v>
      </c>
      <c r="L89" s="187">
        <f>'Subcases Monthly'!J100</f>
        <v>0</v>
      </c>
      <c r="M89" s="187">
        <f>'Subcases Monthly'!K100</f>
        <v>0</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0</v>
      </c>
      <c r="K90" s="187">
        <f>'Subcases Monthly'!I101</f>
        <v>0</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0</v>
      </c>
      <c r="K91" s="187">
        <f>'Subcases Monthly'!I102</f>
        <v>0</v>
      </c>
      <c r="L91" s="187">
        <f>'Subcases Monthly'!J102</f>
        <v>0</v>
      </c>
      <c r="M91" s="187">
        <f>'Subcases Monthly'!K102</f>
        <v>0</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0</v>
      </c>
      <c r="K92" s="187">
        <f>'Subcases Monthly'!I103</f>
        <v>0</v>
      </c>
      <c r="L92" s="187">
        <f>'Subcases Monthly'!J103</f>
        <v>0</v>
      </c>
      <c r="M92" s="187">
        <f>'Subcases Monthly'!K103</f>
        <v>0</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0</v>
      </c>
      <c r="K93" s="187">
        <f>'Subcases Monthly'!I104</f>
        <v>0</v>
      </c>
      <c r="L93" s="187">
        <f>'Subcases Monthly'!J104</f>
        <v>0</v>
      </c>
      <c r="M93" s="187">
        <f>'Subcases Monthly'!K104</f>
        <v>0</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0</v>
      </c>
      <c r="K94" s="187">
        <f>'Subcases Monthly'!I105</f>
        <v>0</v>
      </c>
      <c r="L94" s="187">
        <f>'Subcases Monthly'!J105</f>
        <v>0</v>
      </c>
      <c r="M94" s="187">
        <f>'Subcases Monthly'!K105</f>
        <v>0</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0</v>
      </c>
      <c r="K95" s="187">
        <f>'Subcases Monthly'!I106</f>
        <v>0</v>
      </c>
      <c r="L95" s="187">
        <f>'Subcases Monthly'!J106</f>
        <v>0</v>
      </c>
      <c r="M95" s="187">
        <f>'Subcases Monthly'!K106</f>
        <v>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0</v>
      </c>
      <c r="K97" s="187">
        <f>'Subcases Monthly'!I111</f>
        <v>0</v>
      </c>
      <c r="L97" s="187">
        <f>'Subcases Monthly'!J111</f>
        <v>0</v>
      </c>
      <c r="M97" s="187">
        <f>'Subcases Monthly'!K111</f>
        <v>0</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0</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0</v>
      </c>
      <c r="K101" s="187">
        <f>'Subcases Monthly'!I115</f>
        <v>0</v>
      </c>
      <c r="L101" s="187">
        <f>'Subcases Monthly'!J115</f>
        <v>0</v>
      </c>
      <c r="M101" s="187">
        <f>'Subcases Monthly'!K115</f>
        <v>0</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0</v>
      </c>
      <c r="K106" s="187">
        <f>'Subcases Monthly'!I123</f>
        <v>0</v>
      </c>
      <c r="L106" s="187">
        <f>'Subcases Monthly'!J123</f>
        <v>0</v>
      </c>
      <c r="M106" s="187">
        <f>'Subcases Monthly'!K123</f>
        <v>0</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0</v>
      </c>
      <c r="K107" s="187">
        <f>'Outputs Monthly'!I23</f>
        <v>0</v>
      </c>
      <c r="L107" s="187">
        <f>'Outputs Monthly'!J23</f>
        <v>0</v>
      </c>
      <c r="M107" s="187">
        <f>'Outputs Monthly'!K23</f>
        <v>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0</v>
      </c>
      <c r="K108" s="187">
        <f>'Outputs Monthly'!I24</f>
        <v>0</v>
      </c>
      <c r="L108" s="187">
        <f>'Outputs Monthly'!J24</f>
        <v>0</v>
      </c>
      <c r="M108" s="187">
        <f>'Outputs Monthly'!K24</f>
        <v>0</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0</v>
      </c>
      <c r="K109" s="187">
        <f>'Outputs Monthly'!I25</f>
        <v>0</v>
      </c>
      <c r="L109" s="187">
        <f>'Outputs Monthly'!J25</f>
        <v>0</v>
      </c>
      <c r="M109" s="187">
        <f>'Outputs Monthly'!K25</f>
        <v>0</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0</v>
      </c>
      <c r="K110" s="187">
        <f>'Outputs Monthly'!I26</f>
        <v>0</v>
      </c>
      <c r="L110" s="187">
        <f>'Outputs Monthly'!J26</f>
        <v>0</v>
      </c>
      <c r="M110" s="187">
        <f>'Outputs Monthly'!K26</f>
        <v>0</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0</v>
      </c>
      <c r="K111" s="187">
        <f>'Outputs Monthly'!I27</f>
        <v>0</v>
      </c>
      <c r="L111" s="187">
        <f>'Outputs Monthly'!J27</f>
        <v>0</v>
      </c>
      <c r="M111" s="187">
        <f>'Outputs Monthly'!K27</f>
        <v>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0</v>
      </c>
      <c r="K112" s="187">
        <f>'Outputs Monthly'!I28</f>
        <v>0</v>
      </c>
      <c r="L112" s="187">
        <f>'Outputs Monthly'!J28</f>
        <v>0</v>
      </c>
      <c r="M112" s="187">
        <f>'Outputs Monthly'!K28</f>
        <v>0</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0</v>
      </c>
      <c r="K113" s="187">
        <f>'Outputs Monthly'!I29</f>
        <v>0</v>
      </c>
      <c r="L113" s="187">
        <f>'Outputs Monthly'!J29</f>
        <v>0</v>
      </c>
      <c r="M113" s="187">
        <f>'Outputs Monthly'!K29</f>
        <v>0</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0</v>
      </c>
      <c r="K114" s="187">
        <f>'Outputs Monthly'!I30</f>
        <v>0</v>
      </c>
      <c r="L114" s="187">
        <f>'Outputs Monthly'!J30</f>
        <v>0</v>
      </c>
      <c r="M114" s="187">
        <f>'Outputs Monthly'!K30</f>
        <v>0</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0</v>
      </c>
      <c r="K115" s="187">
        <f>'Outputs Monthly'!I31</f>
        <v>0</v>
      </c>
      <c r="L115" s="187">
        <f>'Outputs Monthly'!J31</f>
        <v>0</v>
      </c>
      <c r="M115" s="187">
        <f>'Outputs Monthly'!K31</f>
        <v>0</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0</v>
      </c>
      <c r="K117" s="187">
        <f>'Outputs Monthly'!I36</f>
        <v>0</v>
      </c>
      <c r="L117" s="187">
        <f>'Outputs Monthly'!J36</f>
        <v>0</v>
      </c>
      <c r="M117" s="187">
        <f>'Outputs Monthly'!K36</f>
        <v>0</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0</v>
      </c>
      <c r="L118" s="187">
        <f>'Outputs Monthly'!J37</f>
        <v>0</v>
      </c>
      <c r="M118" s="187">
        <f>'Outputs Monthly'!K37</f>
        <v>0</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0</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0</v>
      </c>
      <c r="K120" s="187">
        <f>'Outputs Monthly'!I39</f>
        <v>0</v>
      </c>
      <c r="L120" s="187">
        <f>'Outputs Monthly'!J39</f>
        <v>0</v>
      </c>
      <c r="M120" s="187">
        <f>'Outputs Monthly'!K39</f>
        <v>0</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0</v>
      </c>
      <c r="K121" s="187">
        <f>'Outputs Monthly'!I40</f>
        <v>0</v>
      </c>
      <c r="L121" s="187">
        <f>'Outputs Monthly'!J40</f>
        <v>0</v>
      </c>
      <c r="M121" s="187">
        <f>'Outputs Monthly'!K40</f>
        <v>0</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0</v>
      </c>
      <c r="K122" s="187">
        <f>'Outputs Monthly'!I41</f>
        <v>0</v>
      </c>
      <c r="L122" s="187">
        <f>'Outputs Monthly'!J41</f>
        <v>0</v>
      </c>
      <c r="M122" s="187">
        <f>'Outputs Monthly'!K41</f>
        <v>0</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0</v>
      </c>
      <c r="M123" s="187">
        <f>'Outputs Monthly'!K42</f>
        <v>0</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0</v>
      </c>
      <c r="K124" s="187">
        <f>'Outputs Monthly'!I43</f>
        <v>0</v>
      </c>
      <c r="L124" s="187">
        <f>'Outputs Monthly'!J43</f>
        <v>0</v>
      </c>
      <c r="M124" s="187">
        <f>'Outputs Monthly'!K43</f>
        <v>0</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0</v>
      </c>
      <c r="K125" s="187">
        <f>'Outputs Monthly'!I44</f>
        <v>0</v>
      </c>
      <c r="L125" s="187">
        <f>'Outputs Monthly'!J44</f>
        <v>0</v>
      </c>
      <c r="M125" s="187">
        <f>'Outputs Monthly'!K44</f>
        <v>0</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0</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0</v>
      </c>
      <c r="I127" s="188">
        <f>'Timeliness Quarterly'!I46</f>
        <v>0</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0</v>
      </c>
      <c r="I128" s="188">
        <f>'Timeliness Quarterly'!I49</f>
        <v>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0</v>
      </c>
      <c r="I129" s="188">
        <f>'Timeliness Quarterly'!I52</f>
        <v>0</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0</v>
      </c>
      <c r="I130" s="188">
        <f>'Timeliness Quarterly'!I55</f>
        <v>0</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0</v>
      </c>
      <c r="I131" s="188">
        <f>'Timeliness Quarterly'!I58</f>
        <v>0</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0</v>
      </c>
      <c r="I132" s="188">
        <f>'Timeliness Quarterly'!I61</f>
        <v>0</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0</v>
      </c>
      <c r="I133" s="188">
        <f>'Timeliness Quarterly'!I64</f>
        <v>0</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0</v>
      </c>
      <c r="I134" s="188">
        <f>'Timeliness Quarterly'!I67</f>
        <v>0</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0</v>
      </c>
      <c r="I135" s="188">
        <f>'Timeliness Quarterly'!I70</f>
        <v>0</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0</v>
      </c>
      <c r="I136" s="188">
        <f>'Timeliness Quarterly'!I73</f>
        <v>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0</v>
      </c>
      <c r="I137" s="188">
        <f>'Timeliness Quarterly'!I12</f>
        <v>0</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0</v>
      </c>
      <c r="I138" s="188">
        <f>'Timeliness Quarterly'!I15</f>
        <v>0</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0</v>
      </c>
      <c r="I139" s="188">
        <f>'Timeliness Quarterly'!I18</f>
        <v>0</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0</v>
      </c>
      <c r="I140" s="188">
        <f>'Timeliness Quarterly'!I21</f>
        <v>0</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0</v>
      </c>
      <c r="I141" s="188">
        <f>'Timeliness Quarterly'!I24</f>
        <v>0</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0</v>
      </c>
      <c r="I142" s="188">
        <f>'Timeliness Quarterly'!I27</f>
        <v>0</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0</v>
      </c>
      <c r="I143" s="188">
        <f>'Timeliness Quarterly'!I30</f>
        <v>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0</v>
      </c>
      <c r="I144" s="188">
        <f>'Timeliness Quarterly'!I33</f>
        <v>0</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0</v>
      </c>
      <c r="I145" s="188">
        <f>'Timeliness Quarterly'!I36</f>
        <v>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0</v>
      </c>
      <c r="I146" s="188">
        <f>'Timeliness Quarterly'!I39</f>
        <v>0</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0</v>
      </c>
      <c r="I147" s="188">
        <f>'Timeliness Quarterly'!I47</f>
        <v>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0</v>
      </c>
      <c r="I148" s="188">
        <f>'Timeliness Quarterly'!I50</f>
        <v>0</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0</v>
      </c>
      <c r="I149" s="188">
        <f>'Timeliness Quarterly'!I53</f>
        <v>0</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0</v>
      </c>
      <c r="I150" s="188">
        <f>'Timeliness Quarterly'!I56</f>
        <v>0</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0</v>
      </c>
      <c r="I151" s="188">
        <f>'Timeliness Quarterly'!I59</f>
        <v>0</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0</v>
      </c>
      <c r="I152" s="188">
        <f>'Timeliness Quarterly'!I62</f>
        <v>0</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0</v>
      </c>
      <c r="I153" s="188">
        <f>'Timeliness Quarterly'!I65</f>
        <v>0</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0</v>
      </c>
      <c r="I154" s="188">
        <f>'Timeliness Quarterly'!I68</f>
        <v>0</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0</v>
      </c>
      <c r="I155" s="188">
        <f>'Timeliness Quarterly'!I71</f>
        <v>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0</v>
      </c>
      <c r="I156" s="188">
        <f>'Timeliness Quarterly'!I74</f>
        <v>0</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1</v>
      </c>
      <c r="I157" s="188">
        <f>'Timeliness Quarterly'!I13</f>
        <v>1</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1</v>
      </c>
      <c r="I158" s="188">
        <f>'Timeliness Quarterly'!I16</f>
        <v>1</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1</v>
      </c>
      <c r="I159" s="188">
        <f>'Timeliness Quarterly'!I19</f>
        <v>1</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1</v>
      </c>
      <c r="I160" s="188">
        <f>'Timeliness Quarterly'!I22</f>
        <v>1</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1</v>
      </c>
      <c r="I161" s="188">
        <f>'Timeliness Quarterly'!I25</f>
        <v>1</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1</v>
      </c>
      <c r="I162" s="188">
        <f>'Timeliness Quarterly'!I28</f>
        <v>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1</v>
      </c>
      <c r="I163" s="188">
        <f>'Timeliness Quarterly'!I31</f>
        <v>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1</v>
      </c>
      <c r="I164" s="188">
        <f>'Timeliness Quarterly'!I34</f>
        <v>1</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1</v>
      </c>
      <c r="I166" s="188">
        <f>'Timeliness Quarterly'!I40</f>
        <v>1</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1</v>
      </c>
      <c r="I167" s="188">
        <f>'Timeliness Quarterly'!I48</f>
        <v>1</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1</v>
      </c>
      <c r="I168" s="188">
        <f>'Timeliness Quarterly'!I51</f>
        <v>1</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1</v>
      </c>
      <c r="I169" s="188">
        <f>'Timeliness Quarterly'!I54</f>
        <v>1</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1</v>
      </c>
      <c r="I170" s="188">
        <f>'Timeliness Quarterly'!I57</f>
        <v>1</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1</v>
      </c>
      <c r="I171" s="188">
        <f>'Timeliness Quarterly'!I60</f>
        <v>1</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1</v>
      </c>
      <c r="I172" s="188">
        <f>'Timeliness Quarterly'!I63</f>
        <v>1</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1</v>
      </c>
      <c r="I173" s="188">
        <f>'Timeliness Quarterly'!I66</f>
        <v>1</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1</v>
      </c>
      <c r="I174" s="188">
        <f>'Timeliness Quarterly'!I69</f>
        <v>1</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1</v>
      </c>
      <c r="I175" s="188">
        <f>'Timeliness Quarterly'!I72</f>
        <v>1</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1</v>
      </c>
      <c r="I176" s="188">
        <f>'Timeliness Quarterly'!I75</f>
        <v>1</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f>'Timeliness Quarterly'!N23</f>
        <v>0</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f>'Timeliness Quarterly'!N61</f>
        <v>0</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f>'Timeliness Quarterly'!O23</f>
        <v>0</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f>'Timeliness Quarterly'!O61</f>
        <v>0</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0</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0</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0</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2025-01-14T20:24:45Z</dcterms:modified>
</cp:coreProperties>
</file>