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26" i="44"/>
  <c r="R11" i="44"/>
  <c r="E239" i="52" s="1"/>
  <c r="O7" i="49"/>
  <c r="P45" i="49"/>
  <c r="M45" i="49"/>
  <c r="P44" i="49"/>
  <c r="P43" i="49"/>
  <c r="P42" i="49"/>
  <c r="M42" i="49"/>
  <c r="P41" i="49"/>
  <c r="P40" i="49"/>
  <c r="P39" i="49"/>
  <c r="P38" i="49"/>
  <c r="O38" i="49"/>
  <c r="P37" i="49"/>
  <c r="P36" i="49"/>
  <c r="P31" i="49"/>
  <c r="P30" i="49"/>
  <c r="P29" i="49"/>
  <c r="P28" i="49"/>
  <c r="P27" i="49"/>
  <c r="P26" i="49"/>
  <c r="P25" i="49"/>
  <c r="P24" i="49"/>
  <c r="P23" i="49"/>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53"/>
  <c r="M44" i="53"/>
  <c r="L44" i="44"/>
  <c r="L44" i="53" s="1"/>
  <c r="K44" i="53"/>
  <c r="J44" i="53"/>
  <c r="I44" i="53"/>
  <c r="H44" i="44"/>
  <c r="H44" i="53" s="1"/>
  <c r="G44" i="53"/>
  <c r="F44" i="53"/>
  <c r="P43" i="44"/>
  <c r="P43" i="53" s="1"/>
  <c r="O43" i="53"/>
  <c r="N43" i="53"/>
  <c r="M43" i="53"/>
  <c r="L43" i="53"/>
  <c r="K43" i="53"/>
  <c r="J43" i="53"/>
  <c r="I43" i="53"/>
  <c r="H43" i="53"/>
  <c r="G43" i="53"/>
  <c r="F43" i="53"/>
  <c r="P42" i="44"/>
  <c r="P42" i="53" s="1"/>
  <c r="O42" i="53"/>
  <c r="N42" i="53"/>
  <c r="M42" i="53"/>
  <c r="L42" i="44"/>
  <c r="L42" i="53" s="1"/>
  <c r="K42" i="53"/>
  <c r="J42" i="53"/>
  <c r="I42" i="53"/>
  <c r="H42" i="44"/>
  <c r="H42" i="53" s="1"/>
  <c r="G42" i="53"/>
  <c r="F42" i="53"/>
  <c r="P41" i="44"/>
  <c r="P41" i="53" s="1"/>
  <c r="O41" i="53"/>
  <c r="N41" i="53"/>
  <c r="M41" i="53"/>
  <c r="L41" i="53"/>
  <c r="K41" i="53"/>
  <c r="J41" i="53"/>
  <c r="I41" i="53"/>
  <c r="H41" i="53"/>
  <c r="G41" i="53"/>
  <c r="F41" i="53"/>
  <c r="P40" i="44"/>
  <c r="P40" i="53" s="1"/>
  <c r="O40" i="44"/>
  <c r="O40" i="53" s="1"/>
  <c r="N40" i="53"/>
  <c r="M40" i="53"/>
  <c r="L40" i="44"/>
  <c r="L40" i="53" s="1"/>
  <c r="K40" i="44"/>
  <c r="K40" i="53" s="1"/>
  <c r="J40" i="53"/>
  <c r="I40" i="53"/>
  <c r="H40" i="44"/>
  <c r="H40" i="53" s="1"/>
  <c r="G40" i="53"/>
  <c r="F40" i="53"/>
  <c r="P59" i="44"/>
  <c r="P59" i="53" s="1"/>
  <c r="O59" i="44"/>
  <c r="O59" i="53" s="1"/>
  <c r="N59" i="44"/>
  <c r="N59" i="53" s="1"/>
  <c r="M59" i="44"/>
  <c r="M59" i="53" s="1"/>
  <c r="P58" i="44"/>
  <c r="P58" i="53" s="1"/>
  <c r="O58" i="44"/>
  <c r="O58" i="53" s="1"/>
  <c r="N58" i="53"/>
  <c r="M58" i="53"/>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53"/>
  <c r="N54" i="53"/>
  <c r="M54" i="53"/>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53"/>
  <c r="N50" i="53"/>
  <c r="M50" i="53"/>
  <c r="P49" i="44"/>
  <c r="P49" i="53" s="1"/>
  <c r="O49" i="53"/>
  <c r="N49" i="53"/>
  <c r="M49" i="53"/>
  <c r="P48" i="44"/>
  <c r="P48" i="53" s="1"/>
  <c r="O48" i="53"/>
  <c r="N48" i="53"/>
  <c r="M48" i="53"/>
  <c r="P47" i="44"/>
  <c r="P47" i="53" s="1"/>
  <c r="O47" i="53"/>
  <c r="N47" i="53"/>
  <c r="M47" i="53"/>
  <c r="P46" i="44"/>
  <c r="P46" i="53" s="1"/>
  <c r="O46" i="53"/>
  <c r="N46" i="53"/>
  <c r="M46" i="53"/>
  <c r="P45" i="44"/>
  <c r="P45" i="53" s="1"/>
  <c r="O45" i="53"/>
  <c r="N45" i="53"/>
  <c r="M45" i="53"/>
  <c r="F45" i="53"/>
  <c r="G45" i="53"/>
  <c r="H45" i="53"/>
  <c r="I45" i="53"/>
  <c r="J45" i="53"/>
  <c r="K45" i="53"/>
  <c r="L45" i="53"/>
  <c r="F46" i="53"/>
  <c r="G46" i="53"/>
  <c r="H46" i="53"/>
  <c r="I46" i="53"/>
  <c r="J46" i="53"/>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53"/>
  <c r="G51" i="53"/>
  <c r="H51" i="44"/>
  <c r="H51" i="53" s="1"/>
  <c r="I51" i="53"/>
  <c r="J51" i="44"/>
  <c r="J51" i="53" s="1"/>
  <c r="K51" i="53"/>
  <c r="L51" i="44"/>
  <c r="L51" i="53" s="1"/>
  <c r="F52" i="53"/>
  <c r="G52" i="53"/>
  <c r="H52" i="44"/>
  <c r="H52" i="53" s="1"/>
  <c r="I52" i="53"/>
  <c r="J52" i="44"/>
  <c r="J52" i="53" s="1"/>
  <c r="K52" i="44"/>
  <c r="K52" i="53" s="1"/>
  <c r="L52" i="53"/>
  <c r="F53" i="53"/>
  <c r="G53" i="53"/>
  <c r="H53" i="44"/>
  <c r="H53" i="53" s="1"/>
  <c r="I53" i="53"/>
  <c r="J53" i="44"/>
  <c r="J53" i="53" s="1"/>
  <c r="K53" i="44"/>
  <c r="K53" i="53" s="1"/>
  <c r="L53" i="44"/>
  <c r="L53" i="53" s="1"/>
  <c r="F54" i="53"/>
  <c r="G54" i="53"/>
  <c r="H54" i="53"/>
  <c r="I54" i="53"/>
  <c r="J54" i="53"/>
  <c r="K54" i="53"/>
  <c r="L54" i="53"/>
  <c r="F55" i="53"/>
  <c r="G55" i="53"/>
  <c r="H55" i="44"/>
  <c r="H55" i="53" s="1"/>
  <c r="I55" i="53"/>
  <c r="J55" i="44"/>
  <c r="J55" i="53" s="1"/>
  <c r="K55" i="44"/>
  <c r="K55" i="53" s="1"/>
  <c r="L55" i="53"/>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53"/>
  <c r="K58" i="53"/>
  <c r="L58" i="53"/>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53"/>
  <c r="N71" i="53"/>
  <c r="M71" i="53"/>
  <c r="L71" i="53"/>
  <c r="K71" i="53"/>
  <c r="J71" i="53"/>
  <c r="I71" i="44"/>
  <c r="I71" i="53" s="1"/>
  <c r="H71" i="53"/>
  <c r="G71" i="53"/>
  <c r="P70" i="44"/>
  <c r="P70" i="53" s="1"/>
  <c r="O70" i="53"/>
  <c r="N70" i="53"/>
  <c r="M70" i="53"/>
  <c r="L70" i="53"/>
  <c r="P69" i="44"/>
  <c r="P69" i="53" s="1"/>
  <c r="O69" i="53"/>
  <c r="N69" i="53"/>
  <c r="M69" i="53"/>
  <c r="L69" i="53"/>
  <c r="P68" i="44"/>
  <c r="P68" i="53" s="1"/>
  <c r="O68" i="53"/>
  <c r="N68" i="53"/>
  <c r="M68" i="53"/>
  <c r="L68" i="53"/>
  <c r="K68" i="53"/>
  <c r="J68" i="53"/>
  <c r="I68" i="53"/>
  <c r="H68" i="53"/>
  <c r="G68" i="53"/>
  <c r="P67" i="44"/>
  <c r="P67" i="53" s="1"/>
  <c r="O67" i="53"/>
  <c r="N67" i="53"/>
  <c r="M67" i="53"/>
  <c r="P66" i="44"/>
  <c r="P66" i="53" s="1"/>
  <c r="O66" i="53"/>
  <c r="N66" i="53"/>
  <c r="M66" i="53"/>
  <c r="P65" i="44"/>
  <c r="P65" i="53" s="1"/>
  <c r="O65" i="53"/>
  <c r="N65" i="53"/>
  <c r="M65" i="53"/>
  <c r="L65" i="53"/>
  <c r="K65" i="53"/>
  <c r="J65" i="53"/>
  <c r="I65" i="53"/>
  <c r="H65" i="53"/>
  <c r="G65" i="53"/>
  <c r="P64" i="44"/>
  <c r="P64" i="53" s="1"/>
  <c r="O64" i="53"/>
  <c r="N64" i="53"/>
  <c r="M64" i="53"/>
  <c r="P63" i="44"/>
  <c r="P63" i="53" s="1"/>
  <c r="O63" i="53"/>
  <c r="N63" i="53"/>
  <c r="M63" i="53"/>
  <c r="L67" i="53"/>
  <c r="K67" i="53"/>
  <c r="J67" i="53"/>
  <c r="I67" i="53"/>
  <c r="H67" i="53"/>
  <c r="G67" i="53"/>
  <c r="L66" i="53"/>
  <c r="K66" i="53"/>
  <c r="J66" i="53"/>
  <c r="I66" i="53"/>
  <c r="H66" i="53"/>
  <c r="G66" i="53"/>
  <c r="L64" i="53"/>
  <c r="K64" i="53"/>
  <c r="J64" i="53"/>
  <c r="I64" i="53"/>
  <c r="H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53"/>
  <c r="N84" i="53"/>
  <c r="M84" i="44"/>
  <c r="M84" i="53" s="1"/>
  <c r="L84" i="53"/>
  <c r="K84" i="53"/>
  <c r="J84" i="53"/>
  <c r="I84" i="53"/>
  <c r="H84" i="53"/>
  <c r="G84" i="53"/>
  <c r="F84" i="53"/>
  <c r="E84" i="53"/>
  <c r="E85" i="53"/>
  <c r="N83" i="44"/>
  <c r="N83" i="53" s="1"/>
  <c r="M83" i="44"/>
  <c r="M83" i="53" s="1"/>
  <c r="P82" i="44"/>
  <c r="P82" i="53" s="1"/>
  <c r="O82" i="53"/>
  <c r="N82" i="53"/>
  <c r="M82" i="53"/>
  <c r="P81" i="44"/>
  <c r="P81" i="53" s="1"/>
  <c r="O81" i="53"/>
  <c r="N81" i="53"/>
  <c r="M81" i="53"/>
  <c r="P80" i="44"/>
  <c r="P80" i="53" s="1"/>
  <c r="O80" i="53"/>
  <c r="N80" i="53"/>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53"/>
  <c r="G83" i="53"/>
  <c r="H83" i="44"/>
  <c r="H83" i="53" s="1"/>
  <c r="I83" i="44"/>
  <c r="I83" i="53" s="1"/>
  <c r="J83" i="44"/>
  <c r="J83" i="53" s="1"/>
  <c r="K83" i="44"/>
  <c r="K83" i="53" s="1"/>
  <c r="L83" i="44"/>
  <c r="L83" i="53" s="1"/>
  <c r="P79" i="44"/>
  <c r="P79" i="53" s="1"/>
  <c r="O79" i="53"/>
  <c r="N79" i="53"/>
  <c r="M79" i="53"/>
  <c r="P78" i="44"/>
  <c r="P78" i="53" s="1"/>
  <c r="O78" i="53"/>
  <c r="N78" i="53"/>
  <c r="M78" i="53"/>
  <c r="P77" i="44"/>
  <c r="P77" i="53" s="1"/>
  <c r="O77" i="53"/>
  <c r="N77" i="53"/>
  <c r="M77" i="53"/>
  <c r="M85" i="53"/>
  <c r="N85" i="53"/>
  <c r="O85" i="53"/>
  <c r="P85" i="44"/>
  <c r="P85" i="53" s="1"/>
  <c r="M86" i="53"/>
  <c r="N86" i="53"/>
  <c r="O86" i="53"/>
  <c r="P86" i="44"/>
  <c r="P86" i="53" s="1"/>
  <c r="M87" i="53"/>
  <c r="N87" i="53"/>
  <c r="O87" i="53"/>
  <c r="P87" i="44"/>
  <c r="P87" i="53" s="1"/>
  <c r="M88" i="44"/>
  <c r="M88" i="53" s="1"/>
  <c r="N88" i="53"/>
  <c r="O88" i="53"/>
  <c r="P88" i="44"/>
  <c r="P88" i="53" s="1"/>
  <c r="M89" i="53"/>
  <c r="N89" i="53"/>
  <c r="O89" i="53"/>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53"/>
  <c r="K79" i="53"/>
  <c r="J79" i="53"/>
  <c r="I79" i="53"/>
  <c r="H79" i="44"/>
  <c r="H79" i="53" s="1"/>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44"/>
  <c r="E88" i="53" s="1"/>
  <c r="F88" i="53"/>
  <c r="G88" i="53"/>
  <c r="H88" i="53"/>
  <c r="I88" i="53"/>
  <c r="J88" i="44"/>
  <c r="J88" i="53" s="1"/>
  <c r="K88" i="53"/>
  <c r="L88" i="53"/>
  <c r="E89" i="53"/>
  <c r="F89" i="53"/>
  <c r="G89" i="53"/>
  <c r="H89" i="53"/>
  <c r="I89" i="53"/>
  <c r="J89" i="53"/>
  <c r="K89" i="53"/>
  <c r="L89" i="53"/>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53"/>
  <c r="K92" i="53"/>
  <c r="L92" i="44"/>
  <c r="L92" i="53" s="1"/>
  <c r="E93" i="44"/>
  <c r="E93" i="53" s="1"/>
  <c r="F93" i="53"/>
  <c r="G93" i="53"/>
  <c r="H93" i="44"/>
  <c r="H93" i="53" s="1"/>
  <c r="I93" i="44"/>
  <c r="I93" i="53" s="1"/>
  <c r="J93" i="44"/>
  <c r="J93" i="53" s="1"/>
  <c r="K93" i="44"/>
  <c r="K93" i="53" s="1"/>
  <c r="L93" i="44"/>
  <c r="L93" i="53" s="1"/>
  <c r="P102" i="44"/>
  <c r="P102" i="53" s="1"/>
  <c r="O102" i="53"/>
  <c r="N102" i="53"/>
  <c r="M102" i="53"/>
  <c r="P101" i="44"/>
  <c r="P101" i="53" s="1"/>
  <c r="O101" i="44"/>
  <c r="O101" i="53" s="1"/>
  <c r="N101" i="44"/>
  <c r="N101" i="53" s="1"/>
  <c r="M101" i="53"/>
  <c r="P100" i="44"/>
  <c r="P100" i="53" s="1"/>
  <c r="O100" i="53"/>
  <c r="N100" i="53"/>
  <c r="M100" i="53"/>
  <c r="P99" i="44"/>
  <c r="P99" i="53" s="1"/>
  <c r="O99" i="53"/>
  <c r="N99" i="53"/>
  <c r="M99" i="53"/>
  <c r="P98" i="44"/>
  <c r="P98" i="53" s="1"/>
  <c r="O98" i="53"/>
  <c r="N98" i="53"/>
  <c r="M98" i="53"/>
  <c r="P97" i="44"/>
  <c r="P97" i="53" s="1"/>
  <c r="O97" i="53"/>
  <c r="N97" i="53"/>
  <c r="M97" i="53"/>
  <c r="L102" i="53"/>
  <c r="K102" i="53"/>
  <c r="J102" i="53"/>
  <c r="I102" i="53"/>
  <c r="H102" i="53"/>
  <c r="G102" i="53"/>
  <c r="F102" i="53"/>
  <c r="E102" i="53"/>
  <c r="P104" i="44"/>
  <c r="P104" i="53" s="1"/>
  <c r="O104" i="53"/>
  <c r="N104" i="53"/>
  <c r="M104" i="53"/>
  <c r="P103" i="44"/>
  <c r="P103" i="53" s="1"/>
  <c r="O103" i="53"/>
  <c r="N103" i="53"/>
  <c r="M103" i="53"/>
  <c r="E103" i="53"/>
  <c r="F103" i="53"/>
  <c r="G103" i="53"/>
  <c r="H103" i="53"/>
  <c r="I103" i="53"/>
  <c r="J103" i="53"/>
  <c r="K103" i="53"/>
  <c r="L103" i="53"/>
  <c r="E104" i="53"/>
  <c r="F104" i="53"/>
  <c r="G104" i="53"/>
  <c r="H104" i="53"/>
  <c r="I104" i="53"/>
  <c r="J104" i="53"/>
  <c r="K104" i="53"/>
  <c r="L104" i="53"/>
  <c r="P105" i="44"/>
  <c r="P105" i="53" s="1"/>
  <c r="O105" i="53"/>
  <c r="N105" i="53"/>
  <c r="M105" i="53"/>
  <c r="L105" i="53"/>
  <c r="K105" i="53"/>
  <c r="J105" i="53"/>
  <c r="I105" i="53"/>
  <c r="H105" i="53"/>
  <c r="G105" i="53"/>
  <c r="F105" i="53"/>
  <c r="E105" i="53"/>
  <c r="P106" i="44"/>
  <c r="P106" i="53" s="1"/>
  <c r="O106" i="53"/>
  <c r="N106" i="53"/>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53"/>
  <c r="N117" i="44"/>
  <c r="N117" i="53" s="1"/>
  <c r="M117" i="44"/>
  <c r="M117" i="53" s="1"/>
  <c r="P116" i="44"/>
  <c r="P116" i="53" s="1"/>
  <c r="O116" i="44"/>
  <c r="O116" i="53" s="1"/>
  <c r="N116" i="44"/>
  <c r="N116" i="53" s="1"/>
  <c r="M116" i="44"/>
  <c r="M116" i="53" s="1"/>
  <c r="P115" i="44"/>
  <c r="P115" i="53" s="1"/>
  <c r="O115" i="44"/>
  <c r="O115" i="53" s="1"/>
  <c r="N115" i="53"/>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53"/>
  <c r="N112" i="44"/>
  <c r="N112" i="53" s="1"/>
  <c r="M112" i="44"/>
  <c r="M112" i="53" s="1"/>
  <c r="P111" i="44"/>
  <c r="P111" i="53" s="1"/>
  <c r="O111" i="53"/>
  <c r="N111" i="53"/>
  <c r="M111" i="53"/>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53"/>
  <c r="K115" i="53"/>
  <c r="J115" i="53"/>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53"/>
  <c r="K111" i="53"/>
  <c r="J111" i="53"/>
  <c r="I111" i="53"/>
  <c r="H111" i="53"/>
  <c r="G111" i="53"/>
  <c r="F111" i="53"/>
  <c r="E111" i="53"/>
  <c r="P123" i="44"/>
  <c r="P123" i="53" s="1"/>
  <c r="O123" i="53"/>
  <c r="N123" i="53"/>
  <c r="M123" i="53"/>
  <c r="L123" i="53"/>
  <c r="K123" i="53"/>
  <c r="J123" i="53"/>
  <c r="I123" i="53"/>
  <c r="H123" i="53"/>
  <c r="G123" i="53"/>
  <c r="F123" i="53"/>
  <c r="E123" i="53"/>
  <c r="P39" i="44"/>
  <c r="P39" i="53" s="1"/>
  <c r="O39" i="53"/>
  <c r="N39" i="53"/>
  <c r="M39" i="53"/>
  <c r="L39" i="53"/>
  <c r="K39" i="53"/>
  <c r="J39" i="53"/>
  <c r="I39" i="53"/>
  <c r="H39" i="53"/>
  <c r="G39" i="53"/>
  <c r="F39" i="53"/>
  <c r="P35" i="44"/>
  <c r="P35" i="53" s="1"/>
  <c r="O35" i="44"/>
  <c r="O35" i="53" s="1"/>
  <c r="N35" i="44"/>
  <c r="N35" i="53" s="1"/>
  <c r="M35" i="44"/>
  <c r="M35" i="53" s="1"/>
  <c r="L35" i="53"/>
  <c r="K35" i="44"/>
  <c r="K35" i="53" s="1"/>
  <c r="J35" i="44"/>
  <c r="J35" i="53" s="1"/>
  <c r="I35" i="44"/>
  <c r="I35" i="53" s="1"/>
  <c r="H35" i="44"/>
  <c r="H35" i="53" s="1"/>
  <c r="G35" i="53"/>
  <c r="F35" i="53"/>
  <c r="E35" i="44"/>
  <c r="E35" i="53" s="1"/>
  <c r="P34" i="44"/>
  <c r="P34" i="53" s="1"/>
  <c r="O34" i="53"/>
  <c r="N34" i="53"/>
  <c r="M34" i="53"/>
  <c r="L34" i="53"/>
  <c r="K34" i="53"/>
  <c r="J34" i="53"/>
  <c r="I34" i="53"/>
  <c r="H34" i="53"/>
  <c r="G34" i="53"/>
  <c r="F34" i="53"/>
  <c r="E34" i="53"/>
  <c r="P33" i="44"/>
  <c r="P33" i="53" s="1"/>
  <c r="O33" i="53"/>
  <c r="N33" i="53"/>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44"/>
  <c r="P28" i="53" s="1"/>
  <c r="O28" i="53"/>
  <c r="N28" i="53"/>
  <c r="M28" i="53"/>
  <c r="L28" i="53"/>
  <c r="K28" i="53"/>
  <c r="J28" i="53"/>
  <c r="I28" i="53"/>
  <c r="H28" i="53"/>
  <c r="G28" i="53"/>
  <c r="F28" i="53"/>
  <c r="E28" i="53"/>
  <c r="P27" i="44"/>
  <c r="P27" i="53" s="1"/>
  <c r="O27" i="44"/>
  <c r="O27" i="53" s="1"/>
  <c r="N27" i="44"/>
  <c r="N27" i="53" s="1"/>
  <c r="M27" i="53"/>
  <c r="L27" i="44"/>
  <c r="L27" i="53" s="1"/>
  <c r="K27" i="53"/>
  <c r="J27" i="53"/>
  <c r="I27" i="53"/>
  <c r="H27" i="44"/>
  <c r="H27" i="53" s="1"/>
  <c r="G27" i="53"/>
  <c r="F27" i="53"/>
  <c r="E27" i="53"/>
  <c r="P26" i="44"/>
  <c r="P26" i="53" s="1"/>
  <c r="O26" i="53"/>
  <c r="N26" i="53"/>
  <c r="M26" i="53"/>
  <c r="L26" i="53"/>
  <c r="K26" i="53"/>
  <c r="J26" i="53"/>
  <c r="I26" i="53"/>
  <c r="H26" i="53"/>
  <c r="G26" i="53"/>
  <c r="F26" i="53"/>
  <c r="E26" i="53"/>
  <c r="P22" i="44"/>
  <c r="P22" i="53" s="1"/>
  <c r="O22" i="44"/>
  <c r="O22" i="53" s="1"/>
  <c r="N22" i="53"/>
  <c r="M22" i="44"/>
  <c r="M22" i="53" s="1"/>
  <c r="L22" i="53"/>
  <c r="K22" i="53"/>
  <c r="J22" i="53"/>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53"/>
  <c r="N20" i="53"/>
  <c r="M20" i="53"/>
  <c r="L20" i="53"/>
  <c r="K20" i="53"/>
  <c r="J20" i="53"/>
  <c r="I20" i="53"/>
  <c r="H20" i="53"/>
  <c r="G20" i="53"/>
  <c r="F20" i="53"/>
  <c r="E20" i="53"/>
  <c r="P19" i="44"/>
  <c r="P19" i="53" s="1"/>
  <c r="O19" i="53"/>
  <c r="N19" i="53"/>
  <c r="M19" i="53"/>
  <c r="L19" i="53"/>
  <c r="K19" i="53"/>
  <c r="J19" i="53"/>
  <c r="I19" i="53"/>
  <c r="H19" i="53"/>
  <c r="G19" i="53"/>
  <c r="F19" i="53"/>
  <c r="E19" i="53"/>
  <c r="P18" i="44"/>
  <c r="P18" i="53" s="1"/>
  <c r="O18" i="53"/>
  <c r="N18" i="53"/>
  <c r="M18" i="53"/>
  <c r="L18" i="53"/>
  <c r="K18" i="53"/>
  <c r="J18" i="53"/>
  <c r="I18" i="53"/>
  <c r="H18" i="53"/>
  <c r="G18" i="53"/>
  <c r="F18" i="53"/>
  <c r="E18" i="53"/>
  <c r="P14" i="44"/>
  <c r="P14" i="53" s="1"/>
  <c r="O14" i="44"/>
  <c r="O14" i="53" s="1"/>
  <c r="N14" i="53"/>
  <c r="M14" i="44"/>
  <c r="M14" i="53" s="1"/>
  <c r="L14" i="44"/>
  <c r="L14" i="53" s="1"/>
  <c r="K14" i="53"/>
  <c r="J14" i="44"/>
  <c r="J14" i="53" s="1"/>
  <c r="I14" i="44"/>
  <c r="I14" i="53" s="1"/>
  <c r="H14" i="53"/>
  <c r="G14" i="44"/>
  <c r="G14" i="53" s="1"/>
  <c r="F14" i="53"/>
  <c r="E14" i="44"/>
  <c r="E14" i="53" s="1"/>
  <c r="P13" i="44"/>
  <c r="P13" i="53" s="1"/>
  <c r="O13" i="53"/>
  <c r="N13" i="53"/>
  <c r="M13" i="53"/>
  <c r="L13" i="53"/>
  <c r="K13" i="53"/>
  <c r="J13" i="53"/>
  <c r="I13" i="53"/>
  <c r="H13" i="53"/>
  <c r="G13" i="53"/>
  <c r="F13" i="53"/>
  <c r="E13" i="53"/>
  <c r="P12" i="44"/>
  <c r="P12" i="53" s="1"/>
  <c r="O12" i="53"/>
  <c r="N12" i="44"/>
  <c r="N12" i="53" s="1"/>
  <c r="M12" i="53"/>
  <c r="L12" i="53"/>
  <c r="K12" i="53"/>
  <c r="J12" i="44"/>
  <c r="J12" i="53" s="1"/>
  <c r="I12" i="53"/>
  <c r="H12" i="53"/>
  <c r="G12" i="53"/>
  <c r="F12" i="53"/>
  <c r="E12" i="53"/>
  <c r="P11" i="44"/>
  <c r="P11" i="53" s="1"/>
  <c r="O11" i="53"/>
  <c r="N11" i="53"/>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J44" i="49"/>
  <c r="L42" i="49"/>
  <c r="L38" i="49"/>
  <c r="K38" i="49"/>
  <c r="H37"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<sst xmlns="http://schemas.openxmlformats.org/spreadsheetml/2006/main" count="5133" uniqueCount="1916">
  <si>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</si>
  <si>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</si>
  <si>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</si>
  <si>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</si>
  <si>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</si>
  <si>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</si>
  <si>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</si>
  <si>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</si>
  <si>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</si>
  <si>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</si>
  <si>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</si>
  <si>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</si>
  <si>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</si>
  <si>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</si>
  <si>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</si>
  <si>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</si>
  <si>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</si>
  <si>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</si>
  <si>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</si>
  <si>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</si>
  <si>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</si>
  <si>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</si>
  <si>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</si>
  <si>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</si>
  <si>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</si>
  <si>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</si>
  <si>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</si>
  <si>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</si>
  <si>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</si>
  <si>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</si>
  <si>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</si>
  <si>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</si>
  <si>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</si>
  <si>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</si>
  <si>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</si>
  <si>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</si>
  <si>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</si>
  <si>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</si>
  <si>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</si>
  <si>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</si>
  <si>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</si>
  <si>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</si>
  <si>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</si>
  <si>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</si>
  <si>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</si>
  <si>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</si>
  <si>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</si>
  <si>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</si>
  <si>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</si>
  <si>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</si>
  <si>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</si>
  <si>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</si>
  <si>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</si>
  <si>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</si>
  <si>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</si>
  <si>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</si>
  <si>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</si>
  <si>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</si>
  <si>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</si>
  <si>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</si>
  <si>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</si>
  <si>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</si>
  <si>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</si>
  <si>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</si>
  <si>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</si>
  <si>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</si>
  <si>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</si>
  <si>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</si>
  <si>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</si>
  <si>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</si>
  <si>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</si>
  <si>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</si>
  <si>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</si>
  <si>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</si>
  <si>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</si>
  <si>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</si>
  <si>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</si>
  <si>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</si>
  <si>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</si>
  <si>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</si>
  <si>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</si>
  <si>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</si>
  <si>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</si>
  <si>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</si>
  <si>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</si>
  <si>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</si>
  <si>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</si>
  <si>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</si>
  <si>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</si>
  <si>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</si>
  <si>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</si>
  <si>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</si>
  <si>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</si>
  <si>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</si>
  <si>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</si>
  <si>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</si>
  <si>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</si>
  <si>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</si>
  <si>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</si>
  <si>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</si>
  <si>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</si>
  <si>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</si>
  <si>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</si>
  <si>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</si>
  <si>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</si>
  <si>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</si>
  <si>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</si>
  <si>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</si>
  <si>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</si>
  <si>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</si>
  <si>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</si>
  <si>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</si>
  <si>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</si>
  <si>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</si>
  <si>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</si>
  <si>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</si>
  <si>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</si>
  <si>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</si>
  <si>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</si>
  <si>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</si>
  <si>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</si>
  <si>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</si>
  <si>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</si>
  <si>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</si>
  <si>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</si>
  <si>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</si>
  <si>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</si>
  <si>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</si>
  <si>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</si>
  <si>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</si>
  <si>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</si>
  <si>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</si>
  <si>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</si>
  <si>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</si>
  <si>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</si>
  <si>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</si>
  <si>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</si>
  <si>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</si>
  <si>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</si>
  <si>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</si>
  <si>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</si>
  <si>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</si>
  <si>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</si>
  <si>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</si>
  <si>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</si>
  <si>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</si>
  <si>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</si>
  <si>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</si>
  <si>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</si>
  <si>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</si>
  <si>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</si>
  <si>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</si>
  <si>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</si>
  <si>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</si>
  <si>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</si>
  <si>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</si>
  <si>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</si>
  <si>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</si>
  <si>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</si>
  <si>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</si>
  <si>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</si>
  <si>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</si>
  <si>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</si>
  <si>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</si>
  <si>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</si>
  <si>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</si>
  <si>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</si>
  <si>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</si>
  <si>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</si>
  <si>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</si>
  <si>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</si>
  <si>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</si>
  <si>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</si>
  <si>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</si>
  <si>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</si>
  <si>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</si>
  <si>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</si>
  <si>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</si>
  <si>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</si>
  <si>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</si>
  <si>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</si>
  <si>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</si>
  <si>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</si>
  <si>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</si>
  <si>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</si>
  <si>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</si>
  <si>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</si>
  <si>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</si>
  <si>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</si>
  <si>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</si>
  <si>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</si>
  <si>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</si>
  <si>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</si>
  <si>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</si>
  <si>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</si>
  <si>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</si>
  <si>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</si>
  <si>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</si>
  <si>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</si>
  <si>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</si>
  <si>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</si>
  <si>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</si>
  <si>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</si>
  <si>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</si>
  <si>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</si>
  <si>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</si>
  <si>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</si>
  <si>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</si>
  <si>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</si>
  <si>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</si>
  <si>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</si>
  <si>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</si>
  <si>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</si>
  <si>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</si>
  <si>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</si>
  <si>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</si>
  <si>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</si>
  <si>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</si>
  <si>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</si>
  <si>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</si>
  <si>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</si>
  <si>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</si>
  <si>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</si>
  <si>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</si>
  <si>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</si>
  <si>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</si>
  <si>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</si>
  <si>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</si>
  <si>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</si>
  <si>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</si>
  <si>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</si>
  <si>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</si>
  <si>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</si>
  <si>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</si>
  <si>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</si>
  <si>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</si>
  <si>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</si>
  <si>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</si>
  <si>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</si>
  <si>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</si>
  <si>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</si>
  <si>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</si>
  <si>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</si>
  <si>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</si>
  <si>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</si>
  <si>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</si>
  <si>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</si>
  <si>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</si>
  <si>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</si>
  <si>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</si>
  <si>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</si>
  <si>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</si>
  <si>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</si>
  <si>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</si>
  <si>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</si>
  <si>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</si>
  <si>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</si>
  <si>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</si>
  <si>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</si>
  <si>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</si>
  <si>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</si>
  <si>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</si>
  <si>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</si>
  <si>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</si>
  <si>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</si>
  <si>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</si>
  <si>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</si>
  <si>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</si>
  <si>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</si>
  <si>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</si>
  <si>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</si>
  <si>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</si>
  <si>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</si>
  <si>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</si>
  <si>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</si>
  <si>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</si>
  <si>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</si>
  <si>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</si>
  <si>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</si>
  <si>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</si>
  <si>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</si>
  <si>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</si>
  <si>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</si>
  <si>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</si>
  <si>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</si>
  <si>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</si>
  <si>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</si>
  <si>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</si>
  <si>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</si>
  <si>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</si>
  <si>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</si>
  <si>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</si>
  <si>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</si>
  <si>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</si>
  <si>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</si>
  <si>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</si>
  <si>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</si>
  <si>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</si>
  <si>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</si>
  <si>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</si>
  <si>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</si>
  <si>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</si>
  <si>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</si>
  <si>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</si>
  <si>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</si>
  <si>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</si>
  <si>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</si>
  <si>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</si>
  <si>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</si>
  <si>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</si>
  <si>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</si>
  <si>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</si>
  <si>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</si>
  <si>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</si>
  <si>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</si>
  <si>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</si>
  <si>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</si>
  <si>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</si>
  <si>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</si>
  <si>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</si>
  <si>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</si>
  <si>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</si>
  <si>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</si>
  <si>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</si>
  <si>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</si>
  <si>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</si>
  <si>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</si>
  <si>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</si>
  <si>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</si>
  <si>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</si>
  <si>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</si>
  <si>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</si>
  <si>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</si>
  <si>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</si>
  <si>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</si>
  <si>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</si>
  <si>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</si>
  <si>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</si>
  <si>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</si>
  <si>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</si>
  <si>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</si>
  <si>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</si>
  <si>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</si>
  <si>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</si>
  <si>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</si>
  <si>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</si>
  <si>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</si>
  <si>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</si>
  <si>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</si>
  <si>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</si>
  <si>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</si>
  <si>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</si>
  <si>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</si>
  <si>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</si>
  <si>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</si>
  <si>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</si>
  <si>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</si>
  <si>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</si>
  <si>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</si>
  <si>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</si>
  <si>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</si>
  <si>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</si>
  <si>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</si>
  <si>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</si>
  <si>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</si>
  <si>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</si>
  <si>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</si>
  <si>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</si>
  <si>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</si>
  <si>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</si>
  <si>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</si>
  <si>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</si>
  <si>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</si>
  <si>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</si>
  <si>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</si>
  <si>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</si>
  <si>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</si>
  <si>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</si>
  <si>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</si>
  <si>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</si>
  <si>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</si>
  <si>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</si>
  <si>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</si>
  <si>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</si>
  <si>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</si>
  <si>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</si>
  <si>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</si>
  <si>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</si>
  <si>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</si>
  <si>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</si>
  <si>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</si>
  <si>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</si>
  <si>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</si>
  <si>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</si>
  <si>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</si>
  <si>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</si>
  <si>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</si>
  <si>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</si>
  <si>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</si>
  <si>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</si>
  <si>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</si>
  <si>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</si>
  <si>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</si>
  <si>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</si>
  <si>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</si>
  <si>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</si>
  <si>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</si>
  <si>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</si>
  <si>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</si>
  <si>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</si>
  <si>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</si>
  <si>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</si>
  <si>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</si>
  <si>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</si>
  <si>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</si>
  <si>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</si>
  <si>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</si>
  <si>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</si>
  <si>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</si>
  <si>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</si>
  <si>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</si>
  <si>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</si>
  <si>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</si>
  <si>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</si>
  <si>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</si>
  <si>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</si>
  <si>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</si>
  <si>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</si>
  <si>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</si>
  <si>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</si>
  <si>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</si>
  <si>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</si>
  <si>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</si>
  <si>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</si>
  <si>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</si>
  <si>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</si>
  <si>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</si>
  <si>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</si>
  <si>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</si>
  <si>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</si>
  <si>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</si>
  <si>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</si>
  <si>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</si>
  <si>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</si>
  <si>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</si>
  <si>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</si>
  <si>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</si>
  <si>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</si>
  <si>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</si>
  <si>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</si>
  <si>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</si>
  <si>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</si>
  <si>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</si>
  <si>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</si>
  <si>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</si>
  <si>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</si>
  <si>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</si>
  <si>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</si>
  <si>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</si>
  <si>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</si>
  <si>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</si>
  <si>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</si>
  <si>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</si>
  <si>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</si>
  <si>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</si>
  <si>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</si>
  <si>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</si>
  <si>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</si>
  <si>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</si>
  <si>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</si>
  <si>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</si>
  <si>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</si>
  <si>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</si>
  <si>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</si>
  <si>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</si>
  <si>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</si>
  <si>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</si>
  <si>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</si>
  <si>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</si>
  <si>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</si>
  <si>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</si>
  <si>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</si>
  <si>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</si>
  <si>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</si>
  <si>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</si>
  <si>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</si>
  <si>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</si>
  <si>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</si>
  <si>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</si>
  <si>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</si>
  <si>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</si>
  <si>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</si>
  <si>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</si>
  <si>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</si>
  <si>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</si>
  <si>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</si>
  <si>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</si>
  <si>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</si>
  <si>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</si>
  <si>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</si>
  <si>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</si>
  <si>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</si>
  <si>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</si>
  <si>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</si>
  <si>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</si>
  <si>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</si>
  <si>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</si>
  <si>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</si>
  <si>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</si>
  <si>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</si>
  <si>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</si>
  <si>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</si>
  <si>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</si>
  <si>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</si>
  <si>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</si>
  <si>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</si>
  <si>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</si>
  <si>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</si>
  <si>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</si>
  <si>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</si>
  <si>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</si>
  <si>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</si>
  <si>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</si>
  <si>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</si>
  <si>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</si>
  <si>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</si>
  <si>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</si>
  <si>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</si>
  <si>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</si>
  <si>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</si>
  <si>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</si>
  <si>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</si>
  <si>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</si>
  <si>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</si>
  <si>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</si>
  <si>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</si>
  <si>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</si>
  <si>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</si>
  <si>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</si>
  <si>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</si>
  <si>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</si>
  <si>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</si>
  <si>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</si>
  <si>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</si>
  <si>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</si>
  <si>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</si>
  <si>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</si>
  <si>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</si>
  <si>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</si>
  <si>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</si>
  <si>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</si>
  <si>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</si>
  <si>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</si>
  <si>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</si>
  <si>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</si>
  <si>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</si>
  <si>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</si>
  <si>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</si>
  <si>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</si>
  <si>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</si>
  <si>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</si>
  <si>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</si>
  <si>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</si>
  <si>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</si>
  <si>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</si>
  <si>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</si>
  <si>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</si>
  <si>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</si>
  <si>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</si>
  <si>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</si>
  <si>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</si>
  <si>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</si>
  <si>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</si>
  <si>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</si>
  <si>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</si>
  <si>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</si>
  <si>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</si>
  <si>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</si>
  <si>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</si>
  <si>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</si>
  <si>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</si>
  <si>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</si>
  <si>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</si>
  <si>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</si>
  <si>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</si>
  <si>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</si>
  <si>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</si>
  <si>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</si>
  <si>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</si>
  <si>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</si>
  <si>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</si>
  <si>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</si>
  <si>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</si>
  <si>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</si>
  <si>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</si>
  <si>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</si>
  <si>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</si>
  <si>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</si>
  <si>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</si>
  <si>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</si>
  <si>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</si>
  <si>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</si>
  <si>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</si>
  <si>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</si>
  <si>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</si>
  <si>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</si>
  <si>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</si>
  <si>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</si>
  <si>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</si>
  <si>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</si>
  <si>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</si>
  <si>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</si>
  <si>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</si>
  <si>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</si>
  <si>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</si>
  <si>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</si>
  <si>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</si>
  <si>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</si>
  <si>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</si>
  <si>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</si>
  <si>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</si>
  <si>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</si>
  <si>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</si>
  <si>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</si>
  <si>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</si>
  <si>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</si>
  <si>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</si>
  <si>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</si>
  <si>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</si>
  <si>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</si>
  <si>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</si>
  <si>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</si>
  <si>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</si>
  <si>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</si>
  <si>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</si>
  <si>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</si>
  <si>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</si>
  <si>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</si>
  <si>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</si>
  <si>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</si>
  <si>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</si>
  <si>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</si>
  <si>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</si>
  <si>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</si>
  <si>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</si>
  <si>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</si>
  <si>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</si>
  <si>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</si>
  <si>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</si>
  <si>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</si>
  <si>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</si>
  <si>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</si>
  <si>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</si>
  <si>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</si>
  <si>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</si>
  <si>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</si>
  <si>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</si>
  <si>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</si>
  <si>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</si>
  <si>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</si>
  <si>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</si>
  <si>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</si>
  <si>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</si>
  <si>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</si>
  <si>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</si>
  <si>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</si>
  <si>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</si>
  <si>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</si>
  <si>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</si>
  <si>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</si>
  <si>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</si>
  <si>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</si>
  <si>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</si>
  <si>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</si>
  <si>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</si>
  <si>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</si>
  <si>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</si>
  <si>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</si>
  <si>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</si>
  <si>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</si>
  <si>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</si>
  <si>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</si>
  <si>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</si>
  <si>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</si>
  <si>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</si>
  <si>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</si>
  <si>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</si>
  <si>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</si>
  <si>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</si>
  <si>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</si>
  <si>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</si>
  <si>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</si>
  <si>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</si>
  <si>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</si>
  <si>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</si>
  <si>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</si>
  <si>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</si>
  <si>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</si>
  <si>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</si>
  <si>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</si>
  <si>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</si>
  <si>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</si>
  <si>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</si>
  <si>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</si>
  <si>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</si>
  <si>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</si>
  <si>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</si>
  <si>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</si>
  <si>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</si>
  <si>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</si>
  <si>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</si>
  <si>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</si>
  <si>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</si>
  <si>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</si>
  <si>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</si>
  <si>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</si>
  <si>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</si>
  <si>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</si>
  <si>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</si>
  <si>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</si>
  <si>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</si>
  <si>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</si>
  <si>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</si>
  <si>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</si>
  <si>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</si>
  <si>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</si>
  <si>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</si>
  <si>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</si>
  <si>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</si>
  <si>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</si>
  <si>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</si>
  <si>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</si>
  <si>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</si>
  <si>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</si>
  <si>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</si>
  <si>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</si>
  <si>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</si>
  <si>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</si>
  <si>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</si>
  <si>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</si>
  <si>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</si>
  <si>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</si>
  <si>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</si>
  <si>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</si>
  <si>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</si>
  <si>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</si>
  <si>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</si>
  <si>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</si>
  <si>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</si>
  <si>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</si>
  <si>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</si>
  <si>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</si>
  <si>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</si>
  <si>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</si>
  <si>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</si>
  <si>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</si>
  <si>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</si>
  <si>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</si>
  <si>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</si>
  <si>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</si>
  <si>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</si>
  <si>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</si>
  <si>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</si>
  <si>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</si>
  <si>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</si>
  <si>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</si>
  <si>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</si>
  <si>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</si>
  <si>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</si>
  <si>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</si>
  <si>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</si>
  <si>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</si>
  <si>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</si>
  <si>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</si>
  <si>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</si>
  <si>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</si>
  <si>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</si>
  <si>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</si>
  <si>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</si>
  <si>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</si>
  <si>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</si>
  <si>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</si>
  <si>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</si>
  <si>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</si>
  <si>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</si>
  <si>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</si>
  <si>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</si>
  <si>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</si>
  <si>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</si>
  <si>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</si>
  <si>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</si>
  <si>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</si>
  <si>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</si>
  <si>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</si>
  <si>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</si>
  <si>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</si>
  <si>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</si>
  <si>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</si>
  <si>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</si>
  <si>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</si>
  <si>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</si>
  <si>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</si>
  <si>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</si>
  <si>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</si>
  <si>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</si>
  <si>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</si>
  <si>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</si>
  <si>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</si>
  <si>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</si>
  <si>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</si>
  <si>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</si>
  <si>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</si>
  <si>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</si>
  <si>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</si>
  <si>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</si>
  <si>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</si>
  <si>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</si>
  <si>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</si>
  <si>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</si>
  <si>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</si>
  <si>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</si>
  <si>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</si>
  <si>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</si>
  <si>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</si>
  <si>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</si>
  <si>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</si>
  <si>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</si>
  <si>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</si>
  <si>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</si>
  <si>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</si>
  <si>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</si>
  <si>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</si>
  <si>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</si>
  <si>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</si>
  <si>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</si>
  <si>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</si>
  <si>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</si>
  <si>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</si>
  <si>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</si>
  <si>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</si>
  <si>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</si>
  <si>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</si>
  <si>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</si>
  <si>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</si>
  <si>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</si>
  <si>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</si>
  <si>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</si>
  <si>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</si>
  <si>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</si>
  <si>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</si>
  <si>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</si>
  <si>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</si>
  <si>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</si>
  <si>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</si>
  <si>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</si>
  <si>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</si>
  <si>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</si>
  <si>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</si>
  <si>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</si>
  <si>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</si>
  <si>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</si>
  <si>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</si>
  <si>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</si>
  <si>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</si>
  <si>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</si>
  <si>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</si>
  <si>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</si>
  <si>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</si>
  <si>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</si>
  <si>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</si>
  <si>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</si>
  <si>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</si>
  <si>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</si>
  <si>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</si>
  <si>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</si>
  <si>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</si>
  <si>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</si>
  <si>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</si>
  <si>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</si>
  <si>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</si>
  <si>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</si>
  <si>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</si>
  <si>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</si>
  <si>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</si>
  <si>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</si>
  <si>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</si>
  <si>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</si>
  <si>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</si>
  <si>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</si>
  <si>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</si>
  <si>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</si>
  <si>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</si>
  <si>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</si>
  <si>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</si>
  <si>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</si>
  <si>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</si>
  <si>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</si>
  <si>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</si>
  <si>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</si>
  <si>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</si>
  <si>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</si>
  <si>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</si>
  <si>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</si>
  <si>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</si>
  <si>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</si>
  <si>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</si>
  <si>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</si>
  <si>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</si>
  <si>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</si>
  <si>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</si>
  <si>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</si>
  <si>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</si>
  <si>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</si>
  <si>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</si>
  <si>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</si>
  <si>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</si>
  <si>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</si>
  <si>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</si>
  <si>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</si>
  <si>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</si>
  <si>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</si>
  <si>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</si>
  <si>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</si>
  <si>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</si>
  <si>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</si>
  <si>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</si>
  <si>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</si>
  <si>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</si>
  <si>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</si>
  <si>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</si>
  <si>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</si>
  <si>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</si>
  <si>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</si>
  <si>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</si>
  <si>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</si>
  <si>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</si>
  <si>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</si>
  <si>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</si>
  <si>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</si>
  <si>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</si>
  <si>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</si>
  <si>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</si>
  <si>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</si>
  <si>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</si>
  <si>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</si>
  <si>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</si>
  <si>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</si>
  <si>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</si>
  <si>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</si>
  <si>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</si>
  <si>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</si>
  <si>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</si>
  <si>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</si>
  <si>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</si>
  <si>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</si>
  <si>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</si>
  <si>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</si>
  <si>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</si>
  <si>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</si>
  <si>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</si>
  <si>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</si>
  <si>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</si>
  <si>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</si>
  <si>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</si>
  <si>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</si>
  <si>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</si>
  <si>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</si>
  <si>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</si>
  <si>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</si>
  <si>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</si>
  <si>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</si>
  <si>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</si>
  <si>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</si>
  <si>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</si>
  <si>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</si>
  <si>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</si>
  <si>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</si>
  <si>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</si>
  <si>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</si>
  <si>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</si>
  <si>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</si>
  <si>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</si>
  <si>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</si>
  <si>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</si>
  <si>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</si>
  <si>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</si>
  <si>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</si>
  <si>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</si>
  <si>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</si>
  <si>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</si>
  <si>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</si>
  <si>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</si>
  <si>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</si>
  <si>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</si>
  <si>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</si>
  <si>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</si>
  <si>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</si>
  <si>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</si>
  <si>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</si>
  <si>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</si>
  <si>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</si>
  <si>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</si>
  <si>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</si>
  <si>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</si>
  <si>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</si>
  <si>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</si>
  <si>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</si>
  <si>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</si>
  <si>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</si>
  <si>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</si>
  <si>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</si>
  <si>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</si>
  <si>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</si>
  <si>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</si>
  <si>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</si>
  <si>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</si>
  <si>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</si>
  <si>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</si>
  <si>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</si>
  <si>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</si>
  <si>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</si>
  <si>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</si>
  <si>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</si>
  <si>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</si>
  <si>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</si>
  <si>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</si>
  <si>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</si>
  <si>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</si>
  <si>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</si>
  <si>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</si>
  <si>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</si>
  <si>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</si>
  <si>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</si>
  <si>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</si>
  <si>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</si>
  <si>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</si>
  <si>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</si>
  <si>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</si>
  <si>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</si>
  <si>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</si>
  <si>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</si>
  <si>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</si>
  <si>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</si>
  <si>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</si>
  <si>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</si>
  <si>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</si>
  <si>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</si>
  <si>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</si>
  <si>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</si>
  <si>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</si>
  <si>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</si>
  <si>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</si>
  <si>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</si>
  <si>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</si>
  <si>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</si>
  <si>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</si>
  <si>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</si>
  <si>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</si>
  <si>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</si>
  <si>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</si>
  <si>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</si>
  <si>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</si>
  <si>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</si>
  <si>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</si>
  <si>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</si>
  <si>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</si>
  <si>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</si>
  <si>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</si>
  <si>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</si>
  <si>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</si>
  <si>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</si>
  <si>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</si>
  <si>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</si>
  <si>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</si>
  <si>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</si>
  <si>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</si>
  <si>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</si>
  <si>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</si>
  <si>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</si>
  <si>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</si>
  <si>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</si>
  <si>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</si>
  <si>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</si>
  <si>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</si>
  <si>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</si>
  <si>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</si>
  <si>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</si>
  <si>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</si>
  <si>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</si>
  <si>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</si>
  <si>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</si>
  <si>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</si>
  <si>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</si>
  <si>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</si>
  <si>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</si>
  <si>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</si>
  <si>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</si>
  <si>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</si>
  <si>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</si>
  <si>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</si>
  <si>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</si>
  <si>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</si>
  <si>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</si>
  <si>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</si>
  <si>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</si>
  <si>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</si>
  <si>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</si>
  <si>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</si>
  <si>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</si>
  <si>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</si>
  <si>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</si>
  <si>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</si>
  <si>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</si>
  <si>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</si>
  <si>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</si>
  <si>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</si>
  <si>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</si>
  <si>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</si>
  <si>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</si>
  <si>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</si>
  <si>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</si>
  <si>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</si>
  <si>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</si>
  <si>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</si>
  <si>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</si>
  <si>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</si>
  <si>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</si>
  <si>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</si>
  <si>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</si>
  <si>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</si>
  <si>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</si>
  <si>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</si>
  <si>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</si>
  <si>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</si>
  <si>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</si>
  <si>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</si>
  <si>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</si>
  <si>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</si>
  <si>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</si>
  <si>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</si>
  <si>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</si>
  <si>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</si>
  <si>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</si>
  <si>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</si>
  <si>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</si>
  <si>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</si>
  <si>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</si>
  <si>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</si>
  <si>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</si>
  <si>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</si>
  <si>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</si>
  <si>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</si>
  <si>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</si>
  <si>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</si>
  <si>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</si>
  <si>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</si>
  <si>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</si>
  <si>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</si>
  <si>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</si>
  <si>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</si>
  <si>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</si>
  <si>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</si>
  <si>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</si>
  <si>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</si>
  <si>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</si>
  <si>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</si>
  <si>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</si>
  <si>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</si>
  <si>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</si>
  <si>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</si>
  <si>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</si>
  <si>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</si>
  <si>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</si>
  <si>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</si>
  <si>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</si>
  <si>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</si>
  <si>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</si>
  <si>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</si>
  <si>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</si>
  <si>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</si>
  <si>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</si>
  <si>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</si>
  <si>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</si>
  <si>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</si>
  <si>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</si>
  <si>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</si>
  <si>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</si>
  <si>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</si>
  <si>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</si>
  <si>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</si>
  <si>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</si>
  <si>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</si>
  <si>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</si>
  <si>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</si>
  <si>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</si>
  <si>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</si>
  <si>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</si>
  <si>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</si>
  <si>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</si>
  <si>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</si>
  <si>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</si>
  <si>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</si>
  <si>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</si>
  <si>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</si>
  <si>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</si>
  <si>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</si>
  <si>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</si>
  <si>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</si>
  <si>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</si>
  <si>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</si>
  <si>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</si>
  <si>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</si>
  <si>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</si>
  <si>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</si>
  <si>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</si>
  <si>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</si>
  <si>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</si>
  <si>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</si>
  <si>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</si>
  <si>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</si>
  <si>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</si>
  <si>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</si>
  <si>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</si>
  <si>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</si>
  <si>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</si>
  <si>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</si>
  <si>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</si>
  <si>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</si>
  <si>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</si>
  <si>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</si>
  <si>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</si>
  <si>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</si>
  <si>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</si>
  <si>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</si>
  <si>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</si>
  <si>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</si>
  <si>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</si>
  <si>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</si>
  <si>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</si>
  <si>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</si>
  <si>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</si>
  <si>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</si>
  <si>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</si>
  <si>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</si>
  <si>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</si>
  <si>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</si>
  <si>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</si>
  <si>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</si>
  <si>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</si>
  <si>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</si>
  <si>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</si>
  <si>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</si>
  <si>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</si>
  <si>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</si>
  <si>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</si>
  <si>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</si>
  <si>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</si>
  <si>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</si>
  <si>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</si>
  <si>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</si>
  <si>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</si>
  <si>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</si>
  <si>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</si>
  <si>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</si>
  <si>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</si>
  <si>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</si>
  <si>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</si>
  <si>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</si>
  <si>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</si>
  <si>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</si>
  <si>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</si>
  <si>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</si>
  <si>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</si>
  <si>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</si>
  <si>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</si>
  <si>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</si>
  <si>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</si>
  <si>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</si>
  <si>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</si>
  <si>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</si>
  <si>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</si>
  <si>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</si>
  <si>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</si>
  <si>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</si>
  <si>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</si>
  <si>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</si>
  <si>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</si>
  <si>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</si>
  <si>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</si>
  <si>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</si>
  <si>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</si>
  <si>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</si>
  <si>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</si>
  <si>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</si>
  <si>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</si>
  <si>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</si>
  <si>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</si>
  <si>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</si>
  <si>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</si>
  <si>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</si>
  <si>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</si>
  <si>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</si>
  <si>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</si>
  <si>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</si>
  <si>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</si>
  <si>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</si>
  <si>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</si>
  <si>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</si>
  <si>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</si>
  <si>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</si>
  <si>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</si>
  <si>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</si>
  <si>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</si>
  <si>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</si>
  <si>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</si>
  <si>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</si>
  <si>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</si>
  <si>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</si>
  <si>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</si>
  <si>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</si>
  <si>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</si>
  <si>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</si>
  <si>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</si>
  <si>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</si>
  <si>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</si>
  <si>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</si>
  <si>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</si>
  <si>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</si>
  <si>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</si>
  <si>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</si>
  <si>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</si>
  <si>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</si>
  <si>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</si>
  <si>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</si>
  <si>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</si>
  <si>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</si>
  <si>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</si>
  <si>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</si>
  <si>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</si>
  <si>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</si>
  <si>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</si>
  <si>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</si>
  <si>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</si>
  <si>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</si>
  <si>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</si>
  <si>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</si>
  <si>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</si>
  <si>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</si>
  <si>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</si>
  <si>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</si>
  <si>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</si>
  <si>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</si>
  <si>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</si>
  <si>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</si>
  <si>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</si>
  <si>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</si>
  <si>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</si>
  <si>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</si>
  <si>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</si>
  <si>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</si>
  <si>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</si>
  <si>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</si>
  <si>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</si>
  <si>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</si>
  <si>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</si>
  <si>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</si>
  <si>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</si>
  <si>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</si>
  <si>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</si>
  <si>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</si>
  <si>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</si>
  <si>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</si>
  <si>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</si>
  <si>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</si>
  <si>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</si>
  <si>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</si>
  <si>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</si>
  <si>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</si>
  <si>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</si>
  <si>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</si>
  <si>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</si>
  <si>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</si>
  <si>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</si>
  <si>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</si>
  <si>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</si>
  <si>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</si>
  <si>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</si>
  <si>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</si>
  <si>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</si>
  <si>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</si>
  <si>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</si>
  <si>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</si>
  <si>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</si>
  <si>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</si>
  <si>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</si>
  <si>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</si>
  <si>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</si>
  <si>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</si>
  <si>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</si>
  <si>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</si>
  <si>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</si>
  <si>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</si>
  <si>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</si>
  <si>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</si>
  <si>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</si>
  <si>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</si>
  <si>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</si>
  <si>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</si>
  <si>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</si>
  <si>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</si>
  <si>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</si>
  <si>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</si>
  <si>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</si>
  <si>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</si>
  <si>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</si>
  <si>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</si>
  <si>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</si>
  <si>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</si>
  <si>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</si>
  <si>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</si>
  <si>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</si>
  <si>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</si>
  <si>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</si>
  <si>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</si>
  <si>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</si>
  <si>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</si>
  <si>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</si>
  <si>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</si>
  <si>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</si>
  <si>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</si>
  <si>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</si>
  <si>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</si>
  <si>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</si>
  <si>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</si>
  <si>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</si>
  <si>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</si>
  <si>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</si>
  <si>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</si>
  <si>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</si>
  <si>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</si>
  <si>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</si>
  <si>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</si>
  <si>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</si>
  <si>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</si>
  <si>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</si>
  <si>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</si>
  <si>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</si>
  <si>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</si>
  <si>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</si>
  <si>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</si>
  <si>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</si>
  <si>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</si>
  <si>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</si>
  <si>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</si>
  <si>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</si>
  <si>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</si>
  <si>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</si>
  <si>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</si>
  <si>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</si>
  <si>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</si>
  <si>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</si>
  <si>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</si>
  <si>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</si>
  <si>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</si>
  <si>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</si>
  <si>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</si>
  <si>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</si>
  <si>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</si>
  <si>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</si>
  <si>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</si>
  <si>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</si>
  <si>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</si>
  <si>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</si>
  <si>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</si>
  <si>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</si>
  <si>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</si>
  <si>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</si>
  <si>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</si>
  <si>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</si>
  <si>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</si>
  <si>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</si>
  <si>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</si>
  <si>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</si>
  <si>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</si>
  <si>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</si>
  <si>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</si>
  <si>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</si>
  <si>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</si>
  <si>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</si>
  <si>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</si>
  <si>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</si>
  <si>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</si>
  <si>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</si>
  <si>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</si>
  <si>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</si>
  <si>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</si>
  <si>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</si>
  <si>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</si>
  <si>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</si>
  <si>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</si>
  <si>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</si>
  <si>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</si>
  <si>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</si>
  <si>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</si>
  <si>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</si>
  <si>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</si>
  <si>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</si>
  <si>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</si>
  <si>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</si>
  <si>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</si>
  <si>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</si>
  <si>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</si>
  <si>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</si>
  <si>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</si>
  <si>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</si>
  <si>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</si>
  <si>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</si>
  <si>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</si>
  <si>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</si>
  <si>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</si>
  <si>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</si>
  <si>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</si>
  <si>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</si>
  <si>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</si>
  <si>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</si>
  <si>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</si>
  <si>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</si>
  <si>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</si>
  <si>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</si>
  <si>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</si>
  <si>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</si>
  <si>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</si>
  <si>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</si>
  <si>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</si>
  <si>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</si>
  <si>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</si>
  <si>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</si>
  <si>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</si>
  <si>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</si>
  <si>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</si>
  <si>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</si>
  <si>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</si>
  <si>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</si>
  <si>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</si>
  <si>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</si>
  <si>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</si>
  <si>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</si>
  <si>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</si>
  <si>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</si>
  <si>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</si>
  <si>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</si>
  <si>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</si>
  <si>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</si>
  <si>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</si>
  <si>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</si>
  <si>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</si>
  <si>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</si>
  <si>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</si>
  <si>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</si>
  <si>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</si>
  <si>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</si>
  <si>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</si>
  <si>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</si>
  <si>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</si>
  <si>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</si>
  <si>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</si>
  <si>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</si>
  <si>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</si>
  <si>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</si>
  <si>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</si>
  <si>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</si>
  <si>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</si>
  <si>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</si>
  <si>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</si>
  <si>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</si>
  <si>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</si>
  <si>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</si>
  <si>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</si>
  <si>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</si>
  <si>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</si>
  <si>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</si>
  <si>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</si>
  <si>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</si>
  <si>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</si>
  <si>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</si>
  <si>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</si>
  <si>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</si>
  <si>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</si>
  <si>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</si>
  <si>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</si>
  <si>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</si>
  <si>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</si>
  <si>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</si>
  <si>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</si>
  <si>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</si>
  <si>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</si>
  <si>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</si>
  <si>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</si>
  <si>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</si>
  <si>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</si>
  <si>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</si>
  <si>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</si>
  <si>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</si>
  <si>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</si>
  <si>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</si>
  <si>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</si>
  <si>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</si>
  <si>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</si>
  <si>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</si>
  <si>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</si>
  <si>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</si>
  <si>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</si>
  <si>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</si>
  <si>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</si>
  <si>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</si>
  <si>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</si>
  <si>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</si>
  <si>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</si>
  <si>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</si>
  <si>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</si>
  <si>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</si>
  <si>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</si>
  <si>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</si>
  <si>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</si>
  <si>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</si>
  <si>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</si>
  <si>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</si>
  <si>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</si>
  <si>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</si>
  <si>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</si>
  <si>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</si>
  <si>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</si>
  <si>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</si>
  <si>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</si>
  <si>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</si>
  <si>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</si>
  <si>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</si>
  <si>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</si>
  <si>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</si>
  <si>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</si>
  <si>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</si>
  <si>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</si>
  <si>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</si>
  <si>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</si>
  <si>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</si>
  <si>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</si>
  <si>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</si>
  <si>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</si>
  <si>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</si>
  <si>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</si>
  <si>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</si>
  <si>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</si>
  <si>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</si>
  <si>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</si>
  <si>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</si>
  <si>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</si>
  <si>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</si>
  <si>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</si>
  <si>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</si>
  <si>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</si>
  <si>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</si>
  <si>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</si>
  <si>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</si>
  <si>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</si>
  <si>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</si>
  <si>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</si>
  <si>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</si>
  <si>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</si>
  <si>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</si>
  <si>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</si>
  <si>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</si>
  <si>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</si>
  <si>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</si>
  <si>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</si>
  <si>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</si>
  <si>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</si>
  <si>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</si>
  <si>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</si>
  <si>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</si>
  <si>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</si>
  <si>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</si>
  <si>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</si>
  <si>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</si>
  <si>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</si>
  <si>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</si>
  <si>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</si>
  <si>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</si>
  <si>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</si>
  <si>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</si>
  <si>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</si>
  <si>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</si>
  <si>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</si>
  <si>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</si>
  <si>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</si>
  <si>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</si>
  <si>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</si>
  <si>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</si>
  <si>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</si>
  <si>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</si>
  <si>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</si>
  <si>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</si>
  <si>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</si>
  <si>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</si>
  <si>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</si>
  <si>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</si>
  <si>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</si>
  <si>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</si>
  <si>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</si>
  <si>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</si>
  <si>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</si>
  <si>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</si>
  <si>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</si>
  <si>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</si>
  <si>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</si>
  <si>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</si>
  <si>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</si>
  <si>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</si>
  <si>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</si>
  <si>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</si>
  <si>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</si>
  <si>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</si>
  <si>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</si>
  <si>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</si>
  <si>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</si>
  <si>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</si>
  <si>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</si>
  <si>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</si>
  <si>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</si>
  <si>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</si>
  <si>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</si>
  <si>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</si>
  <si>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</si>
  <si>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</si>
  <si>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</si>
  <si>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</si>
  <si>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</si>
  <si>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</si>
  <si>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</si>
  <si>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</si>
  <si>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</si>
  <si>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</si>
  <si>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</si>
  <si>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</si>
  <si>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</si>
  <si>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</si>
  <si>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</si>
  <si>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</si>
  <si>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</si>
  <si>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</si>
  <si>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</si>
  <si>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</si>
  <si>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</si>
  <si>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</si>
  <si>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</si>
  <si>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</si>
  <si>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</si>
  <si>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</si>
  <si>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</si>
  <si>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</si>
  <si>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</si>
  <si>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</si>
  <si>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</si>
  <si>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</si>
  <si>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</si>
  <si>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</si>
  <si>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</si>
  <si>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</si>
  <si>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</si>
  <si>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</si>
  <si>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</si>
  <si>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</si>
  <si>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</si>
  <si>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</si>
  <si>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</si>
  <si>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</si>
  <si>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</si>
  <si>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</si>
  <si>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</si>
  <si>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</si>
  <si>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</si>
  <si>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</si>
  <si>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</si>
  <si>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</si>
  <si>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</si>
  <si>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</si>
  <si>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</si>
  <si>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</si>
  <si>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</si>
  <si>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</si>
  <si>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</si>
  <si>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</si>
  <si>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</si>
  <si>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</si>
  <si>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</si>
  <si>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</si>
  <si>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</si>
  <si>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</si>
  <si>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</si>
  <si>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</si>
  <si>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</si>
  <si>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</si>
  <si>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</si>
  <si>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</si>
  <si>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</si>
  <si>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</si>
  <si>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</si>
  <si>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</si>
  <si>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</si>
  <si>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</si>
  <si>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</si>
  <si>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</si>
  <si>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</si>
  <si>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</si>
  <si>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</si>
  <si>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</si>
  <si>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</si>
  <si>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</si>
  <si>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</si>
  <si>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</si>
  <si>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</si>
  <si>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</si>
  <si>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</si>
  <si>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</si>
  <si>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</si>
  <si>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</si>
  <si>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</si>
  <si>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</si>
  <si>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</si>
  <si>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</si>
  <si>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</si>
  <si>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</si>
  <si>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</si>
  <si>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</si>
  <si>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</si>
  <si>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</si>
  <si>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</si>
  <si>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</si>
  <si>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</si>
  <si>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</si>
  <si>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</si>
  <si>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</si>
  <si>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</si>
  <si>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</si>
  <si>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</si>
  <si>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</si>
  <si>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</si>
  <si>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</si>
  <si>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</si>
  <si>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</si>
  <si>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</si>
  <si>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</si>
  <si>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</si>
  <si>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</si>
  <si>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</si>
  <si>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</si>
  <si>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</si>
  <si>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</si>
  <si>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</si>
  <si>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</si>
  <si>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</si>
  <si>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</si>
  <si>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</si>
  <si>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</si>
  <si>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</si>
  <si>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</si>
  <si>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</si>
  <si>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</si>
  <si>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</si>
  <si>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</si>
  <si>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</si>
  <si>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</si>
  <si>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</si>
  <si>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</si>
  <si>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</si>
  <si>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</si>
  <si>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</si>
  <si>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</si>
  <si>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</si>
  <si>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</si>
  <si>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</si>
  <si>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</si>
  <si>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</si>
  <si>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</si>
  <si>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</si>
  <si>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</si>
  <si>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</si>
  <si>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</si>
  <si>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</si>
  <si>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</si>
  <si>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</si>
  <si>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</si>
  <si>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</si>
  <si>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</si>
  <si>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</si>
  <si>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</si>
  <si>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</si>
  <si>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</si>
  <si>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</si>
  <si>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</si>
  <si>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</si>
  <si>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</si>
  <si>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</si>
  <si>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</si>
  <si>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</si>
  <si>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</si>
  <si>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</si>
  <si>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</si>
  <si>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</si>
  <si>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</si>
  <si>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</si>
  <si>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</si>
  <si>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</si>
  <si>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</si>
  <si>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</si>
  <si>
    <t>We experienced staff changes and shortages, requiring hiring and training.  We are working on hiring and training new staff to recover from these shortages. We have also been working overtime.</t>
  </si>
  <si>
    <t>We are in the process of verifying the Cases unable to be categorized to confirm the categorization is accurate.   An amended report will be sent either to recategorize correctly or to explain in more detail why these cases are being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</si>
</sst>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0"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0" borderId="200" xfId="55" applyFont="1" applyFill="1" applyBorder="1" applyAlignment="1">
      <alignment horizontal="left"/>
    </xf>
    <xf numFmtId="0" fontId="60" fillId="35"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2" borderId="202" xfId="55" applyFont="1" applyFill="1" applyBorder="1"/>
    <xf numFmtId="0" fontId="59" fillId="12" borderId="198" xfId="55" applyFont="1" applyFill="1" applyBorder="1"/>
    <xf numFmtId="0" fontId="59" fillId="12"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xf numFmtId="0" fontId="2" fillId="26" borderId="168" xfId="55" applyFill="1" applyBorder="1" applyAlignment="1">
      <alignment horizontal="center"/>
    </xf>
    <xf numFmtId="0" fontId="2" fillId="26" borderId="169" xfId="55"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6" t="s">
        <v>406</v>
      </c>
      <c r="B1" s="476"/>
      <c r="C1" s="476"/>
      <c r="D1" s="476"/>
      <c r="E1" s="476"/>
    </row>
    <row r="2" spans="1:18" ht="24" customHeight="1" x14ac:dyDescent="0.2">
      <c r="A2" s="476" t="str">
        <f>"County Fiscal Year "&amp;ReportInfo!N2&amp;"-"&amp;(ReportInfo!N2+1)</f>
        <v>County Fiscal Year 2024-2025</v>
      </c>
      <c r="B2" s="476"/>
      <c r="C2" s="476"/>
    </row>
    <row r="3" spans="1:18" ht="24" customHeight="1" x14ac:dyDescent="0.2">
      <c r="N3"/>
      <c r="O3"/>
    </row>
    <row r="4" spans="1:18" ht="24" customHeight="1" x14ac:dyDescent="0.2">
      <c r="A4" s="6"/>
      <c r="C4" s="21" t="s">
        <v>2</v>
      </c>
      <c r="D4" s="478" t="s">
        <v>10</v>
      </c>
      <c r="E4" s="478"/>
      <c r="F4" s="6"/>
      <c r="G4" s="21" t="s">
        <v>226</v>
      </c>
      <c r="H4" s="477" t="s">
        <v>74</v>
      </c>
      <c r="I4" s="477"/>
      <c r="K4" s="21" t="s">
        <v>3</v>
      </c>
      <c r="L4" s="164">
        <v>1</v>
      </c>
      <c r="N4"/>
      <c r="O4"/>
      <c r="Q4" s="484" t="s">
        <v>1909</v>
      </c>
      <c r="R4" s="484"/>
    </row>
    <row r="5" spans="1:18" ht="24" customHeight="1" x14ac:dyDescent="0.3">
      <c r="A5" s="6"/>
      <c r="C5" s="21" t="s">
        <v>73</v>
      </c>
      <c r="D5" s="479" t="s">
        <v>1910</v>
      </c>
      <c r="E5" s="479"/>
      <c r="F5" s="6"/>
      <c r="N5" s="7"/>
      <c r="Q5" s="484"/>
      <c r="R5" s="484"/>
    </row>
    <row r="6" spans="1:18" ht="24" customHeight="1" x14ac:dyDescent="0.3">
      <c r="A6" s="6"/>
      <c r="C6" s="21" t="s">
        <v>84</v>
      </c>
      <c r="D6" s="478" t="s">
        <v>1911</v>
      </c>
      <c r="E6" s="478"/>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0" t="s">
        <v>376</v>
      </c>
      <c r="F9" s="481"/>
      <c r="G9" s="481"/>
      <c r="H9" s="481"/>
      <c r="I9" s="481"/>
      <c r="J9" s="481"/>
      <c r="K9" s="481"/>
      <c r="L9" s="481"/>
      <c r="M9" s="481"/>
      <c r="N9" s="481"/>
      <c r="O9" s="481"/>
      <c r="P9" s="482"/>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4" t="s">
        <v>401</v>
      </c>
      <c r="D11" s="475"/>
      <c r="E11" s="127">
        <v>500</v>
      </c>
      <c r="F11" s="128">
        <v>528</v>
      </c>
      <c r="G11" s="128">
        <v>473</v>
      </c>
      <c r="H11" s="128">
        <v>528</v>
      </c>
      <c r="I11" s="128">
        <v>487</v>
      </c>
      <c r="J11" s="128">
        <v>529</v>
      </c>
      <c r="K11" s="128">
        <v>557</v>
      </c>
      <c r="L11" s="128">
        <v>569</v>
      </c>
      <c r="M11" s="128">
        <v>532</v>
      </c>
      <c r="N11" s="128">
        <v>623</v>
      </c>
      <c r="O11" s="128">
        <v>577</v>
      </c>
      <c r="P11" s="162">
        <f>IF('Subcases Monthly'!$D$4="","",VLOOKUP('Subcases Monthly'!$D$4,DataLookUp!$A$4:$AVY$70,13,FALSE))</f>
        <v>0</v>
      </c>
      <c r="Q11" s="218">
        <f t="shared" ref="Q11:Q14" si="1">SUM(E11:P11)</f>
        <v>5903</v>
      </c>
      <c r="R11" s="492">
        <f>IF('Subcases Monthly'!$D$4="","",VLOOKUP('Subcases Monthly'!$D$4,DataLookUp!$A$4:$AVY$70,1264,FALSE))</f>
        <v>0</v>
      </c>
    </row>
    <row r="12" spans="1:18" ht="20.100000000000001" customHeight="1" x14ac:dyDescent="0.2">
      <c r="B12" s="197">
        <v>2</v>
      </c>
      <c r="C12" s="461" t="s">
        <v>404</v>
      </c>
      <c r="D12" s="462"/>
      <c r="E12" s="130">
        <v>0</v>
      </c>
      <c r="F12" s="131">
        <v>0</v>
      </c>
      <c r="G12" s="131">
        <v>0</v>
      </c>
      <c r="H12" s="131">
        <v>0</v>
      </c>
      <c r="I12" s="131">
        <v>1</v>
      </c>
      <c r="J12" s="131">
        <f>IF('Subcases Monthly'!$D$4="","",VLOOKUP('Subcases Monthly'!$D$4,DataLookUp!$A$4:$AVY$70,20,FALSE))</f>
        <v>0</v>
      </c>
      <c r="K12" s="131">
        <v>0</v>
      </c>
      <c r="L12" s="131">
        <v>1</v>
      </c>
      <c r="M12" s="131">
        <v>1</v>
      </c>
      <c r="N12" s="131">
        <f>IF('Subcases Monthly'!$D$4="","",VLOOKUP('Subcases Monthly'!$D$4,DataLookUp!$A$4:$AVY$70,24,FALSE))</f>
        <v>0</v>
      </c>
      <c r="O12" s="131">
        <v>1</v>
      </c>
      <c r="P12" s="163">
        <f>IF('Subcases Monthly'!$D$4="","",VLOOKUP('Subcases Monthly'!$D$4,DataLookUp!$A$4:$AVY$70,26,FALSE))</f>
        <v>0</v>
      </c>
      <c r="Q12" s="218">
        <f t="shared" si="1"/>
        <v>4</v>
      </c>
      <c r="R12" s="492"/>
    </row>
    <row r="13" spans="1:18" ht="20.100000000000001" customHeight="1" x14ac:dyDescent="0.2">
      <c r="B13" s="197">
        <v>2</v>
      </c>
      <c r="C13" s="461" t="s">
        <v>389</v>
      </c>
      <c r="D13" s="462"/>
      <c r="E13" s="127">
        <v>25</v>
      </c>
      <c r="F13" s="128">
        <v>21</v>
      </c>
      <c r="G13" s="128">
        <v>30</v>
      </c>
      <c r="H13" s="128">
        <v>22</v>
      </c>
      <c r="I13" s="128">
        <v>13</v>
      </c>
      <c r="J13" s="128">
        <v>21</v>
      </c>
      <c r="K13" s="128">
        <v>18</v>
      </c>
      <c r="L13" s="128">
        <v>21</v>
      </c>
      <c r="M13" s="128">
        <v>20</v>
      </c>
      <c r="N13" s="128">
        <v>19</v>
      </c>
      <c r="O13" s="128">
        <v>27</v>
      </c>
      <c r="P13" s="162">
        <f>IF('Subcases Monthly'!$D$4="","",VLOOKUP('Subcases Monthly'!$D$4,DataLookUp!$A$4:$AVY$70,39,FALSE))</f>
        <v>0</v>
      </c>
      <c r="Q13" s="218">
        <f t="shared" si="1"/>
        <v>237</v>
      </c>
      <c r="R13" s="492"/>
    </row>
    <row r="14" spans="1:18" ht="20.100000000000001" customHeight="1" thickBot="1" x14ac:dyDescent="0.25">
      <c r="B14" s="197">
        <v>1</v>
      </c>
      <c r="C14" s="469" t="s">
        <v>157</v>
      </c>
      <c r="D14" s="470"/>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v>0</v>
      </c>
      <c r="L14" s="221">
        <f>IF('Subcases Monthly'!$D$4="","",VLOOKUP('Subcases Monthly'!$D$4,DataLookUp!$A$4:$AVY$70,48,FALSE))</f>
        <v>0</v>
      </c>
      <c r="M14" s="221">
        <f>IF('Subcases Monthly'!$D$4="","",VLOOKUP('Subcases Monthly'!$D$4,DataLookUp!$A$4:$AVY$70,49,FALSE))</f>
        <v>0</v>
      </c>
      <c r="N14" s="221">
        <v>0</v>
      </c>
      <c r="O14" s="221">
        <f>IF('Subcases Monthly'!$D$4="","",VLOOKUP('Subcases Monthly'!$D$4,DataLookUp!$A$4:$AVY$70,51,FALSE))</f>
        <v>0</v>
      </c>
      <c r="P14" s="217">
        <f>IF('Subcases Monthly'!$D$4="","",VLOOKUP('Subcases Monthly'!$D$4,DataLookUp!$A$4:$AVY$70,52,FALSE))</f>
        <v>0</v>
      </c>
      <c r="Q14" s="219">
        <f t="shared" si="1"/>
        <v>0</v>
      </c>
      <c r="R14" s="493"/>
    </row>
    <row r="15" spans="1:18" s="13" customFormat="1" ht="20.100000000000001" customHeight="1" thickTop="1" thickBot="1" x14ac:dyDescent="0.25">
      <c r="B15" s="196"/>
      <c r="C15" s="471" t="s">
        <v>158</v>
      </c>
      <c r="D15" s="472"/>
      <c r="E15" s="211">
        <f t="shared" ref="E15:P15" si="2">SUM(E11:E14)</f>
        <v>525</v>
      </c>
      <c r="F15" s="212">
        <f t="shared" si="2"/>
        <v>549</v>
      </c>
      <c r="G15" s="212">
        <f t="shared" si="2"/>
        <v>503</v>
      </c>
      <c r="H15" s="212">
        <f t="shared" si="2"/>
        <v>550</v>
      </c>
      <c r="I15" s="212">
        <f t="shared" si="2"/>
        <v>501</v>
      </c>
      <c r="J15" s="212">
        <f t="shared" si="2"/>
        <v>550</v>
      </c>
      <c r="K15" s="212">
        <f t="shared" si="2"/>
        <v>575</v>
      </c>
      <c r="L15" s="212">
        <f t="shared" si="2"/>
        <v>591</v>
      </c>
      <c r="M15" s="212">
        <f t="shared" si="2"/>
        <v>553</v>
      </c>
      <c r="N15" s="212">
        <f t="shared" si="2"/>
        <v>642</v>
      </c>
      <c r="O15" s="212">
        <f t="shared" si="2"/>
        <v>605</v>
      </c>
      <c r="P15" s="213">
        <f t="shared" si="2"/>
        <v>0</v>
      </c>
      <c r="Q15" s="247">
        <f>SUM(E15:P15)</f>
        <v>6144</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4" t="s">
        <v>159</v>
      </c>
      <c r="D18" s="475"/>
      <c r="E18" s="130">
        <v>369</v>
      </c>
      <c r="F18" s="131">
        <v>408</v>
      </c>
      <c r="G18" s="131">
        <v>440</v>
      </c>
      <c r="H18" s="131">
        <v>347</v>
      </c>
      <c r="I18" s="131">
        <v>387</v>
      </c>
      <c r="J18" s="131">
        <v>476</v>
      </c>
      <c r="K18" s="131">
        <v>448</v>
      </c>
      <c r="L18" s="131">
        <v>504</v>
      </c>
      <c r="M18" s="131">
        <v>446</v>
      </c>
      <c r="N18" s="131">
        <v>490</v>
      </c>
      <c r="O18" s="131">
        <v>566</v>
      </c>
      <c r="P18" s="163">
        <f>IF('Subcases Monthly'!$D$4="","",VLOOKUP('Subcases Monthly'!$D$4,DataLookUp!$A$4:$AVY$70,78,FALSE))</f>
        <v>0</v>
      </c>
      <c r="Q18" s="218">
        <f t="shared" ref="Q18:Q23" si="4">SUM(E18:P18)</f>
        <v>4881</v>
      </c>
      <c r="R18" s="491" t="s">
        <v>1915</v>
      </c>
    </row>
    <row r="19" spans="1:18" ht="20.100000000000001" customHeight="1" x14ac:dyDescent="0.2">
      <c r="B19" s="190"/>
      <c r="C19" s="461" t="s">
        <v>160</v>
      </c>
      <c r="D19" s="462"/>
      <c r="E19" s="127">
        <v>4</v>
      </c>
      <c r="F19" s="128">
        <v>5</v>
      </c>
      <c r="G19" s="128">
        <v>10</v>
      </c>
      <c r="H19" s="128">
        <v>24</v>
      </c>
      <c r="I19" s="128">
        <v>15</v>
      </c>
      <c r="J19" s="128">
        <v>21</v>
      </c>
      <c r="K19" s="128">
        <v>16</v>
      </c>
      <c r="L19" s="128">
        <v>27</v>
      </c>
      <c r="M19" s="128">
        <v>83</v>
      </c>
      <c r="N19" s="128">
        <v>46</v>
      </c>
      <c r="O19" s="128">
        <v>39</v>
      </c>
      <c r="P19" s="162">
        <f>IF('Subcases Monthly'!$D$4="","",VLOOKUP('Subcases Monthly'!$D$4,DataLookUp!$A$4:$AVY$70,91,FALSE))</f>
        <v>0</v>
      </c>
      <c r="Q19" s="218">
        <f t="shared" si="4"/>
        <v>290</v>
      </c>
      <c r="R19" s="492"/>
    </row>
    <row r="20" spans="1:18" ht="20.100000000000001" customHeight="1" x14ac:dyDescent="0.2">
      <c r="B20" s="190"/>
      <c r="C20" s="461" t="s">
        <v>161</v>
      </c>
      <c r="D20" s="462"/>
      <c r="E20" s="130">
        <v>112</v>
      </c>
      <c r="F20" s="131">
        <v>152</v>
      </c>
      <c r="G20" s="131">
        <v>134</v>
      </c>
      <c r="H20" s="131">
        <v>137</v>
      </c>
      <c r="I20" s="131">
        <v>147</v>
      </c>
      <c r="J20" s="131">
        <v>136</v>
      </c>
      <c r="K20" s="131">
        <v>109</v>
      </c>
      <c r="L20" s="131">
        <v>180</v>
      </c>
      <c r="M20" s="131">
        <v>188</v>
      </c>
      <c r="N20" s="131">
        <v>128</v>
      </c>
      <c r="O20" s="131">
        <v>105</v>
      </c>
      <c r="P20" s="163">
        <f>IF('Subcases Monthly'!$D$4="","",VLOOKUP('Subcases Monthly'!$D$4,DataLookUp!$A$4:$AVY$70,104,FALSE))</f>
        <v>0</v>
      </c>
      <c r="Q20" s="218">
        <f t="shared" si="4"/>
        <v>1528</v>
      </c>
      <c r="R20" s="492"/>
    </row>
    <row r="21" spans="1:18" ht="20.100000000000001" customHeight="1" x14ac:dyDescent="0.2">
      <c r="B21" s="197">
        <v>2</v>
      </c>
      <c r="C21" s="461" t="s">
        <v>389</v>
      </c>
      <c r="D21" s="462"/>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92"/>
    </row>
    <row r="22" spans="1:18" ht="20.100000000000001" customHeight="1" thickBot="1" x14ac:dyDescent="0.25">
      <c r="B22" s="197">
        <v>1</v>
      </c>
      <c r="C22" s="469" t="s">
        <v>157</v>
      </c>
      <c r="D22" s="470"/>
      <c r="E22" s="220">
        <f>IF('Subcases Monthly'!$D$4="","",VLOOKUP('Subcases Monthly'!$D$4,DataLookUp!$A$4:$AVY$70,119,FALSE))</f>
        <v>0</v>
      </c>
      <c r="F22" s="221">
        <v>1</v>
      </c>
      <c r="G22" s="221">
        <v>1</v>
      </c>
      <c r="H22" s="221">
        <f>IF('Subcases Monthly'!$D$4="","",VLOOKUP('Subcases Monthly'!$D$4,DataLookUp!$A$4:$AVY$70,122,FALSE))</f>
        <v>0</v>
      </c>
      <c r="I22" s="221">
        <v>10</v>
      </c>
      <c r="J22" s="221">
        <v>4</v>
      </c>
      <c r="K22" s="221">
        <v>4</v>
      </c>
      <c r="L22" s="221">
        <v>40</v>
      </c>
      <c r="M22" s="221">
        <f>IF('Subcases Monthly'!$D$4="","",VLOOKUP('Subcases Monthly'!$D$4,DataLookUp!$A$4:$AVY$70,127,FALSE))</f>
        <v>0</v>
      </c>
      <c r="N22" s="221">
        <v>0</v>
      </c>
      <c r="O22" s="221">
        <f>IF('Subcases Monthly'!$D$4="","",VLOOKUP('Subcases Monthly'!$D$4,DataLookUp!$A$4:$AVY$70,129,FALSE))</f>
        <v>0</v>
      </c>
      <c r="P22" s="217">
        <f>IF('Subcases Monthly'!$D$4="","",VLOOKUP('Subcases Monthly'!$D$4,DataLookUp!$A$4:$AVY$70,130,FALSE))</f>
        <v>0</v>
      </c>
      <c r="Q22" s="219">
        <f t="shared" si="4"/>
        <v>60</v>
      </c>
      <c r="R22" s="493"/>
    </row>
    <row r="23" spans="1:18" s="13" customFormat="1" ht="20.100000000000001" customHeight="1" thickTop="1" thickBot="1" x14ac:dyDescent="0.25">
      <c r="B23" s="192"/>
      <c r="C23" s="471" t="s">
        <v>162</v>
      </c>
      <c r="D23" s="472"/>
      <c r="E23" s="211">
        <f t="shared" ref="E23:P23" si="5">SUM(E18:E22)</f>
        <v>485</v>
      </c>
      <c r="F23" s="212">
        <f t="shared" si="5"/>
        <v>566</v>
      </c>
      <c r="G23" s="212">
        <f t="shared" si="5"/>
        <v>585</v>
      </c>
      <c r="H23" s="212">
        <f t="shared" si="5"/>
        <v>508</v>
      </c>
      <c r="I23" s="212">
        <f t="shared" si="5"/>
        <v>559</v>
      </c>
      <c r="J23" s="212">
        <f t="shared" si="5"/>
        <v>637</v>
      </c>
      <c r="K23" s="212">
        <f t="shared" si="5"/>
        <v>577</v>
      </c>
      <c r="L23" s="212">
        <f t="shared" si="5"/>
        <v>751</v>
      </c>
      <c r="M23" s="212">
        <f t="shared" si="5"/>
        <v>717</v>
      </c>
      <c r="N23" s="212">
        <f t="shared" si="5"/>
        <v>664</v>
      </c>
      <c r="O23" s="212">
        <f t="shared" si="5"/>
        <v>710</v>
      </c>
      <c r="P23" s="213">
        <f t="shared" si="5"/>
        <v>0</v>
      </c>
      <c r="Q23" s="247">
        <f t="shared" si="4"/>
        <v>6759</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4" t="s">
        <v>163</v>
      </c>
      <c r="D26" s="475"/>
      <c r="E26" s="130">
        <v>96</v>
      </c>
      <c r="F26" s="131">
        <v>95</v>
      </c>
      <c r="G26" s="131">
        <v>76</v>
      </c>
      <c r="H26" s="131">
        <v>70</v>
      </c>
      <c r="I26" s="131">
        <v>86</v>
      </c>
      <c r="J26" s="131">
        <v>59</v>
      </c>
      <c r="K26" s="131">
        <v>88</v>
      </c>
      <c r="L26" s="131">
        <v>84</v>
      </c>
      <c r="M26" s="131">
        <v>65</v>
      </c>
      <c r="N26" s="131">
        <v>77</v>
      </c>
      <c r="O26" s="131">
        <v>83</v>
      </c>
      <c r="P26" s="163">
        <f>IF('Subcases Monthly'!$D$4="","",VLOOKUP('Subcases Monthly'!$D$4,DataLookUp!$A$4:$AVY$70,156,FALSE))</f>
        <v>0</v>
      </c>
      <c r="Q26" s="218">
        <f t="shared" ref="Q26:Q30" si="16">SUM(E26:P26)</f>
        <v>879</v>
      </c>
      <c r="R26" s="485">
        <f>IF('Subcases Monthly'!$D$4="","",VLOOKUP('Subcases Monthly'!$D$4,DataLookUp!$A$4:$AVY$70,1266,FALSE))</f>
        <v>0</v>
      </c>
    </row>
    <row r="27" spans="1:18" ht="20.100000000000001" customHeight="1" x14ac:dyDescent="0.2">
      <c r="B27" s="197">
        <v>2</v>
      </c>
      <c r="C27" s="461" t="s">
        <v>390</v>
      </c>
      <c r="D27" s="462"/>
      <c r="E27" s="127">
        <v>0</v>
      </c>
      <c r="F27" s="128">
        <v>0</v>
      </c>
      <c r="G27" s="128">
        <v>2</v>
      </c>
      <c r="H27" s="128">
        <f>IF('Subcases Monthly'!$D$4="","",VLOOKUP('Subcases Monthly'!$D$4,DataLookUp!$A$4:$AVY$70,161,FALSE))</f>
        <v>0</v>
      </c>
      <c r="I27" s="128">
        <v>0</v>
      </c>
      <c r="J27" s="128">
        <v>1</v>
      </c>
      <c r="K27" s="128">
        <v>3</v>
      </c>
      <c r="L27" s="128">
        <f>IF('Subcases Monthly'!$D$4="","",VLOOKUP('Subcases Monthly'!$D$4,DataLookUp!$A$4:$AVY$70,165,FALSE))</f>
        <v>0</v>
      </c>
      <c r="M27" s="128">
        <v>1</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7</v>
      </c>
      <c r="R27" s="486"/>
    </row>
    <row r="28" spans="1:18" ht="20.100000000000001" customHeight="1" x14ac:dyDescent="0.2">
      <c r="B28" s="190"/>
      <c r="C28" s="461" t="s">
        <v>164</v>
      </c>
      <c r="D28" s="462"/>
      <c r="E28" s="130">
        <v>1</v>
      </c>
      <c r="F28" s="131">
        <v>0</v>
      </c>
      <c r="G28" s="131">
        <v>1</v>
      </c>
      <c r="H28" s="131">
        <v>1</v>
      </c>
      <c r="I28" s="131">
        <v>1</v>
      </c>
      <c r="J28" s="131">
        <v>2</v>
      </c>
      <c r="K28" s="131">
        <v>1</v>
      </c>
      <c r="L28" s="131">
        <v>5</v>
      </c>
      <c r="M28" s="131">
        <v>1</v>
      </c>
      <c r="N28" s="131">
        <v>1</v>
      </c>
      <c r="O28" s="131">
        <v>3</v>
      </c>
      <c r="P28" s="163">
        <f>IF('Subcases Monthly'!$D$4="","",VLOOKUP('Subcases Monthly'!$D$4,DataLookUp!$A$4:$AVY$70,182,FALSE))</f>
        <v>0</v>
      </c>
      <c r="Q28" s="218">
        <f t="shared" si="16"/>
        <v>17</v>
      </c>
      <c r="R28" s="486"/>
    </row>
    <row r="29" spans="1:18" ht="20.100000000000001" customHeight="1" thickBot="1" x14ac:dyDescent="0.25">
      <c r="B29" s="197">
        <v>1</v>
      </c>
      <c r="C29" s="469" t="s">
        <v>157</v>
      </c>
      <c r="D29" s="470"/>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87"/>
    </row>
    <row r="30" spans="1:18" s="13" customFormat="1" ht="20.100000000000001" customHeight="1" thickTop="1" thickBot="1" x14ac:dyDescent="0.25">
      <c r="B30" s="192"/>
      <c r="C30" s="471" t="s">
        <v>165</v>
      </c>
      <c r="D30" s="472"/>
      <c r="E30" s="211">
        <f>SUM(E26:E29)</f>
        <v>97</v>
      </c>
      <c r="F30" s="212">
        <f t="shared" ref="F30:P30" si="17">SUM(F26:F29)</f>
        <v>95</v>
      </c>
      <c r="G30" s="212">
        <f t="shared" si="17"/>
        <v>79</v>
      </c>
      <c r="H30" s="212">
        <f t="shared" si="17"/>
        <v>71</v>
      </c>
      <c r="I30" s="212">
        <f t="shared" si="17"/>
        <v>87</v>
      </c>
      <c r="J30" s="212">
        <f t="shared" si="17"/>
        <v>62</v>
      </c>
      <c r="K30" s="212">
        <f t="shared" si="17"/>
        <v>92</v>
      </c>
      <c r="L30" s="212">
        <f t="shared" si="17"/>
        <v>89</v>
      </c>
      <c r="M30" s="212">
        <f t="shared" si="17"/>
        <v>67</v>
      </c>
      <c r="N30" s="212">
        <f t="shared" si="17"/>
        <v>78</v>
      </c>
      <c r="O30" s="212">
        <f t="shared" si="17"/>
        <v>86</v>
      </c>
      <c r="P30" s="213">
        <f t="shared" si="17"/>
        <v>0</v>
      </c>
      <c r="Q30" s="247">
        <f t="shared" si="16"/>
        <v>903</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4" t="s">
        <v>167</v>
      </c>
      <c r="D33" s="475"/>
      <c r="E33" s="130">
        <v>150</v>
      </c>
      <c r="F33" s="131">
        <v>160</v>
      </c>
      <c r="G33" s="131">
        <v>179</v>
      </c>
      <c r="H33" s="131">
        <v>158</v>
      </c>
      <c r="I33" s="131">
        <v>168</v>
      </c>
      <c r="J33" s="131">
        <v>205</v>
      </c>
      <c r="K33" s="131">
        <v>196</v>
      </c>
      <c r="L33" s="131">
        <v>192</v>
      </c>
      <c r="M33" s="131">
        <v>177</v>
      </c>
      <c r="N33" s="131">
        <v>176</v>
      </c>
      <c r="O33" s="131">
        <v>182</v>
      </c>
      <c r="P33" s="163">
        <f>IF('Subcases Monthly'!$D$4="","",VLOOKUP('Subcases Monthly'!$D$4,DataLookUp!$A$4:$AVY$70,221,FALSE))</f>
        <v>0</v>
      </c>
      <c r="Q33" s="452">
        <f t="shared" ref="Q33:Q36" si="19">SUM(E33:P33)</f>
        <v>1943</v>
      </c>
      <c r="R33" s="488" t="s">
        <v>1915</v>
      </c>
    </row>
    <row r="34" spans="1:18" ht="20.100000000000001" customHeight="1" x14ac:dyDescent="0.2">
      <c r="B34" s="190"/>
      <c r="C34" s="461" t="s">
        <v>168</v>
      </c>
      <c r="D34" s="462"/>
      <c r="E34" s="127">
        <v>561</v>
      </c>
      <c r="F34" s="128">
        <v>549</v>
      </c>
      <c r="G34" s="128">
        <v>555</v>
      </c>
      <c r="H34" s="128">
        <v>672</v>
      </c>
      <c r="I34" s="128">
        <v>502</v>
      </c>
      <c r="J34" s="128">
        <v>691</v>
      </c>
      <c r="K34" s="128">
        <v>730</v>
      </c>
      <c r="L34" s="128">
        <v>707</v>
      </c>
      <c r="M34" s="128">
        <v>621</v>
      </c>
      <c r="N34" s="128">
        <v>718</v>
      </c>
      <c r="O34" s="128">
        <v>739</v>
      </c>
      <c r="P34" s="162">
        <f>IF('Subcases Monthly'!$D$4="","",VLOOKUP('Subcases Monthly'!$D$4,DataLookUp!$A$4:$AVY$70,234,FALSE))</f>
        <v>0</v>
      </c>
      <c r="Q34" s="453">
        <f t="shared" si="19"/>
        <v>7045</v>
      </c>
      <c r="R34" s="489"/>
    </row>
    <row r="35" spans="1:18" ht="20.100000000000001" customHeight="1" thickBot="1" x14ac:dyDescent="0.25">
      <c r="B35" s="197">
        <v>1</v>
      </c>
      <c r="C35" s="469" t="s">
        <v>157</v>
      </c>
      <c r="D35" s="470"/>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v>1</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1</v>
      </c>
      <c r="R35" s="490"/>
    </row>
    <row r="36" spans="1:18" s="13" customFormat="1" ht="20.100000000000001" customHeight="1" thickTop="1" thickBot="1" x14ac:dyDescent="0.25">
      <c r="B36" s="192"/>
      <c r="C36" s="471" t="s">
        <v>169</v>
      </c>
      <c r="D36" s="472"/>
      <c r="E36" s="211">
        <f>SUM(E33:E35)</f>
        <v>711</v>
      </c>
      <c r="F36" s="212">
        <f t="shared" ref="F36:P36" si="20">SUM(F33:F35)</f>
        <v>709</v>
      </c>
      <c r="G36" s="212">
        <f t="shared" si="20"/>
        <v>734</v>
      </c>
      <c r="H36" s="212">
        <f t="shared" si="20"/>
        <v>830</v>
      </c>
      <c r="I36" s="212">
        <f t="shared" si="20"/>
        <v>670</v>
      </c>
      <c r="J36" s="212">
        <f t="shared" si="20"/>
        <v>896</v>
      </c>
      <c r="K36" s="212">
        <f t="shared" si="20"/>
        <v>926</v>
      </c>
      <c r="L36" s="212">
        <f t="shared" si="20"/>
        <v>900</v>
      </c>
      <c r="M36" s="212">
        <f t="shared" si="20"/>
        <v>798</v>
      </c>
      <c r="N36" s="212">
        <f t="shared" si="20"/>
        <v>894</v>
      </c>
      <c r="O36" s="212">
        <f t="shared" si="20"/>
        <v>921</v>
      </c>
      <c r="P36" s="261">
        <f t="shared" si="20"/>
        <v>0</v>
      </c>
      <c r="Q36" s="136">
        <f t="shared" si="19"/>
        <v>8989</v>
      </c>
      <c r="R36" s="239"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4" t="s">
        <v>170</v>
      </c>
      <c r="D39" s="475"/>
      <c r="E39" s="131">
        <v>2</v>
      </c>
      <c r="F39" s="131">
        <v>1</v>
      </c>
      <c r="G39" s="131">
        <v>4</v>
      </c>
      <c r="H39" s="131">
        <v>1</v>
      </c>
      <c r="I39" s="131">
        <v>0</v>
      </c>
      <c r="J39" s="131">
        <v>1</v>
      </c>
      <c r="K39" s="131">
        <v>1</v>
      </c>
      <c r="L39" s="131">
        <v>1</v>
      </c>
      <c r="M39" s="131">
        <v>1</v>
      </c>
      <c r="N39" s="131">
        <v>1</v>
      </c>
      <c r="O39" s="131">
        <v>3</v>
      </c>
      <c r="P39" s="163">
        <f>IF('Subcases Monthly'!$D$4="","",VLOOKUP('Subcases Monthly'!$D$4,DataLookUp!$A$4:$AVY$70,273,FALSE))</f>
        <v>0</v>
      </c>
      <c r="Q39" s="452">
        <f t="shared" ref="Q39:Q60" si="22">SUM(E39:P39)</f>
        <v>16</v>
      </c>
      <c r="R39" s="488">
        <f>IF('Subcases Monthly'!$D$4="","",VLOOKUP('Subcases Monthly'!$D$4,DataLookUp!$A$4:$AVY$70,1268,FALSE))</f>
        <v>0</v>
      </c>
    </row>
    <row r="40" spans="1:18" ht="20.100000000000001" customHeight="1" x14ac:dyDescent="0.2">
      <c r="B40" s="190"/>
      <c r="C40" s="461" t="s">
        <v>171</v>
      </c>
      <c r="D40" s="462"/>
      <c r="E40" s="128">
        <v>0</v>
      </c>
      <c r="F40" s="128">
        <v>0</v>
      </c>
      <c r="G40" s="128">
        <v>2</v>
      </c>
      <c r="H40" s="128">
        <f>IF('Subcases Monthly'!$D$4="","",VLOOKUP('Subcases Monthly'!$D$4,DataLookUp!$A$4:$AVY$70,278,FALSE))</f>
        <v>0</v>
      </c>
      <c r="I40" s="128">
        <v>0</v>
      </c>
      <c r="J40" s="128">
        <v>1</v>
      </c>
      <c r="K40" s="128">
        <f>IF('Subcases Monthly'!$D$4="","",VLOOKUP('Subcases Monthly'!$D$4,DataLookUp!$A$4:$AVY$70,281,FALSE))</f>
        <v>0</v>
      </c>
      <c r="L40" s="128">
        <f>IF('Subcases Monthly'!$D$4="","",VLOOKUP('Subcases Monthly'!$D$4,DataLookUp!$A$4:$AVY$70,282,FALSE))</f>
        <v>0</v>
      </c>
      <c r="M40" s="128">
        <v>1</v>
      </c>
      <c r="N40" s="128">
        <v>1</v>
      </c>
      <c r="O40" s="128">
        <f>IF('Subcases Monthly'!$D$4="","",VLOOKUP('Subcases Monthly'!$D$4,DataLookUp!$A$4:$AVY$70,285,FALSE))</f>
        <v>0</v>
      </c>
      <c r="P40" s="162">
        <f>IF('Subcases Monthly'!$D$4="","",VLOOKUP('Subcases Monthly'!$D$4,DataLookUp!$A$4:$AVY$70,286,FALSE))</f>
        <v>0</v>
      </c>
      <c r="Q40" s="453">
        <f t="shared" si="22"/>
        <v>5</v>
      </c>
      <c r="R40" s="489"/>
    </row>
    <row r="41" spans="1:18" ht="20.100000000000001" customHeight="1" x14ac:dyDescent="0.2">
      <c r="B41" s="190"/>
      <c r="C41" s="461" t="s">
        <v>172</v>
      </c>
      <c r="D41" s="462"/>
      <c r="E41" s="131">
        <v>78</v>
      </c>
      <c r="F41" s="131">
        <v>62</v>
      </c>
      <c r="G41" s="131">
        <v>97</v>
      </c>
      <c r="H41" s="131">
        <v>88</v>
      </c>
      <c r="I41" s="131">
        <v>72</v>
      </c>
      <c r="J41" s="131">
        <v>116</v>
      </c>
      <c r="K41" s="131">
        <v>97</v>
      </c>
      <c r="L41" s="131">
        <v>118</v>
      </c>
      <c r="M41" s="131">
        <v>107</v>
      </c>
      <c r="N41" s="131">
        <v>116</v>
      </c>
      <c r="O41" s="131">
        <v>105</v>
      </c>
      <c r="P41" s="163">
        <f>IF('Subcases Monthly'!$D$4="","",VLOOKUP('Subcases Monthly'!$D$4,DataLookUp!$A$4:$AVY$70,299,FALSE))</f>
        <v>0</v>
      </c>
      <c r="Q41" s="453">
        <f t="shared" si="22"/>
        <v>1056</v>
      </c>
      <c r="R41" s="489"/>
    </row>
    <row r="42" spans="1:18" ht="20.100000000000001" customHeight="1" x14ac:dyDescent="0.2">
      <c r="B42" s="190"/>
      <c r="C42" s="461" t="s">
        <v>173</v>
      </c>
      <c r="D42" s="462"/>
      <c r="E42" s="128">
        <v>1</v>
      </c>
      <c r="F42" s="128">
        <v>1</v>
      </c>
      <c r="G42" s="128">
        <v>1</v>
      </c>
      <c r="H42" s="128">
        <f>IF('Subcases Monthly'!$D$4="","",VLOOKUP('Subcases Monthly'!$D$4,DataLookUp!$A$4:$AVY$70,304,FALSE))</f>
        <v>0</v>
      </c>
      <c r="I42" s="128">
        <v>0</v>
      </c>
      <c r="J42" s="128">
        <v>4</v>
      </c>
      <c r="K42" s="128">
        <v>2</v>
      </c>
      <c r="L42" s="128">
        <f>IF('Subcases Monthly'!$D$4="","",VLOOKUP('Subcases Monthly'!$D$4,DataLookUp!$A$4:$AVY$70,308,FALSE))</f>
        <v>0</v>
      </c>
      <c r="M42" s="128">
        <v>2</v>
      </c>
      <c r="N42" s="128">
        <v>1</v>
      </c>
      <c r="O42" s="128">
        <v>2</v>
      </c>
      <c r="P42" s="162">
        <f>IF('Subcases Monthly'!$D$4="","",VLOOKUP('Subcases Monthly'!$D$4,DataLookUp!$A$4:$AVY$70,312,FALSE))</f>
        <v>0</v>
      </c>
      <c r="Q42" s="453">
        <f t="shared" si="22"/>
        <v>14</v>
      </c>
      <c r="R42" s="489"/>
    </row>
    <row r="43" spans="1:18" ht="20.100000000000001" customHeight="1" x14ac:dyDescent="0.2">
      <c r="B43" s="190"/>
      <c r="C43" s="461" t="s">
        <v>174</v>
      </c>
      <c r="D43" s="462"/>
      <c r="E43" s="131">
        <v>64</v>
      </c>
      <c r="F43" s="131">
        <v>43</v>
      </c>
      <c r="G43" s="131">
        <v>47</v>
      </c>
      <c r="H43" s="131">
        <v>39</v>
      </c>
      <c r="I43" s="131">
        <v>41</v>
      </c>
      <c r="J43" s="131">
        <v>39</v>
      </c>
      <c r="K43" s="131">
        <v>44</v>
      </c>
      <c r="L43" s="131">
        <v>47</v>
      </c>
      <c r="M43" s="131">
        <v>51</v>
      </c>
      <c r="N43" s="131">
        <v>50</v>
      </c>
      <c r="O43" s="131">
        <v>51</v>
      </c>
      <c r="P43" s="163">
        <f>IF('Subcases Monthly'!$D$4="","",VLOOKUP('Subcases Monthly'!$D$4,DataLookUp!$A$4:$AVY$70,325,FALSE))</f>
        <v>0</v>
      </c>
      <c r="Q43" s="453">
        <f t="shared" si="22"/>
        <v>516</v>
      </c>
      <c r="R43" s="489"/>
    </row>
    <row r="44" spans="1:18" ht="20.100000000000001" customHeight="1" x14ac:dyDescent="0.2">
      <c r="B44" s="190"/>
      <c r="C44" s="461" t="s">
        <v>175</v>
      </c>
      <c r="D44" s="462"/>
      <c r="E44" s="128">
        <v>0</v>
      </c>
      <c r="F44" s="128">
        <v>0</v>
      </c>
      <c r="G44" s="128">
        <v>0</v>
      </c>
      <c r="H44" s="128">
        <f>IF('Subcases Monthly'!$D$4="","",VLOOKUP('Subcases Monthly'!$D$4,DataLookUp!$A$4:$AVY$70,330,FALSE))</f>
        <v>0</v>
      </c>
      <c r="I44" s="128">
        <v>0</v>
      </c>
      <c r="J44" s="128">
        <v>0</v>
      </c>
      <c r="K44" s="128">
        <v>2</v>
      </c>
      <c r="L44" s="128">
        <f>IF('Subcases Monthly'!$D$4="","",VLOOKUP('Subcases Monthly'!$D$4,DataLookUp!$A$4:$AVY$70,334,FALSE))</f>
        <v>0</v>
      </c>
      <c r="M44" s="128">
        <v>0</v>
      </c>
      <c r="N44" s="128">
        <v>0</v>
      </c>
      <c r="O44" s="128">
        <f>IF('Subcases Monthly'!$D$4="","",VLOOKUP('Subcases Monthly'!$D$4,DataLookUp!$A$4:$AVY$70,337,FALSE))</f>
        <v>0</v>
      </c>
      <c r="P44" s="162">
        <f>IF('Subcases Monthly'!$D$4="","",VLOOKUP('Subcases Monthly'!$D$4,DataLookUp!$A$4:$AVY$70,338,FALSE))</f>
        <v>0</v>
      </c>
      <c r="Q44" s="453">
        <f t="shared" si="22"/>
        <v>2</v>
      </c>
      <c r="R44" s="489"/>
    </row>
    <row r="45" spans="1:18" ht="20.100000000000001" customHeight="1" x14ac:dyDescent="0.2">
      <c r="B45" s="190"/>
      <c r="C45" s="461" t="s">
        <v>176</v>
      </c>
      <c r="D45" s="462"/>
      <c r="E45" s="131">
        <v>31</v>
      </c>
      <c r="F45" s="131">
        <v>28</v>
      </c>
      <c r="G45" s="131">
        <v>31</v>
      </c>
      <c r="H45" s="131">
        <v>27</v>
      </c>
      <c r="I45" s="131">
        <v>20</v>
      </c>
      <c r="J45" s="131">
        <v>48</v>
      </c>
      <c r="K45" s="131">
        <v>26</v>
      </c>
      <c r="L45" s="131">
        <v>45</v>
      </c>
      <c r="M45" s="131">
        <v>33</v>
      </c>
      <c r="N45" s="131">
        <v>36</v>
      </c>
      <c r="O45" s="131">
        <v>36</v>
      </c>
      <c r="P45" s="163">
        <f>IF('Subcases Monthly'!$D$4="","",VLOOKUP('Subcases Monthly'!$D$4,DataLookUp!$A$4:$AVY$70,351,FALSE))</f>
        <v>0</v>
      </c>
      <c r="Q45" s="453">
        <f t="shared" si="22"/>
        <v>361</v>
      </c>
      <c r="R45" s="489"/>
    </row>
    <row r="46" spans="1:18" ht="20.100000000000001" customHeight="1" x14ac:dyDescent="0.2">
      <c r="B46" s="190"/>
      <c r="C46" s="461" t="s">
        <v>177</v>
      </c>
      <c r="D46" s="462"/>
      <c r="E46" s="128">
        <v>3</v>
      </c>
      <c r="F46" s="128">
        <v>0</v>
      </c>
      <c r="G46" s="128">
        <v>5</v>
      </c>
      <c r="H46" s="128">
        <v>2</v>
      </c>
      <c r="I46" s="128">
        <v>5</v>
      </c>
      <c r="J46" s="128">
        <v>2</v>
      </c>
      <c r="K46" s="128">
        <v>1</v>
      </c>
      <c r="L46" s="128">
        <v>3</v>
      </c>
      <c r="M46" s="128">
        <v>2</v>
      </c>
      <c r="N46" s="128">
        <v>2</v>
      </c>
      <c r="O46" s="128">
        <v>6</v>
      </c>
      <c r="P46" s="162">
        <f>IF('Subcases Monthly'!$D$4="","",VLOOKUP('Subcases Monthly'!$D$4,DataLookUp!$A$4:$AVY$70,364,FALSE))</f>
        <v>0</v>
      </c>
      <c r="Q46" s="453">
        <f t="shared" si="22"/>
        <v>31</v>
      </c>
      <c r="R46" s="489"/>
    </row>
    <row r="47" spans="1:18" ht="20.100000000000001" customHeight="1" x14ac:dyDescent="0.2">
      <c r="B47" s="190"/>
      <c r="C47" s="461" t="s">
        <v>178</v>
      </c>
      <c r="D47" s="462"/>
      <c r="E47" s="131">
        <v>25</v>
      </c>
      <c r="F47" s="131">
        <v>20</v>
      </c>
      <c r="G47" s="131">
        <v>21</v>
      </c>
      <c r="H47" s="131">
        <v>25</v>
      </c>
      <c r="I47" s="131">
        <v>55</v>
      </c>
      <c r="J47" s="131">
        <v>45</v>
      </c>
      <c r="K47" s="131">
        <v>48</v>
      </c>
      <c r="L47" s="131">
        <v>40</v>
      </c>
      <c r="M47" s="131">
        <v>39</v>
      </c>
      <c r="N47" s="131">
        <v>40</v>
      </c>
      <c r="O47" s="131">
        <v>44</v>
      </c>
      <c r="P47" s="163">
        <f>IF('Subcases Monthly'!$D$4="","",VLOOKUP('Subcases Monthly'!$D$4,DataLookUp!$A$4:$AVY$70,377,FALSE))</f>
        <v>0</v>
      </c>
      <c r="Q47" s="453">
        <f t="shared" si="22"/>
        <v>402</v>
      </c>
      <c r="R47" s="489"/>
    </row>
    <row r="48" spans="1:18" ht="20.100000000000001" customHeight="1" x14ac:dyDescent="0.2">
      <c r="B48" s="190"/>
      <c r="C48" s="461" t="s">
        <v>179</v>
      </c>
      <c r="D48" s="462"/>
      <c r="E48" s="128">
        <v>23</v>
      </c>
      <c r="F48" s="128">
        <v>11</v>
      </c>
      <c r="G48" s="128">
        <v>12</v>
      </c>
      <c r="H48" s="128">
        <v>12</v>
      </c>
      <c r="I48" s="128">
        <v>30</v>
      </c>
      <c r="J48" s="128">
        <v>43</v>
      </c>
      <c r="K48" s="128">
        <v>39</v>
      </c>
      <c r="L48" s="128">
        <v>28</v>
      </c>
      <c r="M48" s="128">
        <v>36</v>
      </c>
      <c r="N48" s="128">
        <v>27</v>
      </c>
      <c r="O48" s="128">
        <v>34</v>
      </c>
      <c r="P48" s="162">
        <f>IF('Subcases Monthly'!$D$4="","",VLOOKUP('Subcases Monthly'!$D$4,DataLookUp!$A$4:$AVY$70,390,FALSE))</f>
        <v>0</v>
      </c>
      <c r="Q48" s="453">
        <f t="shared" si="22"/>
        <v>295</v>
      </c>
      <c r="R48" s="489"/>
    </row>
    <row r="49" spans="1:18" ht="20.100000000000001" customHeight="1" x14ac:dyDescent="0.2">
      <c r="B49" s="190"/>
      <c r="C49" s="461" t="s">
        <v>180</v>
      </c>
      <c r="D49" s="462"/>
      <c r="E49" s="131">
        <v>25</v>
      </c>
      <c r="F49" s="131">
        <v>24</v>
      </c>
      <c r="G49" s="131">
        <v>18</v>
      </c>
      <c r="H49" s="131">
        <v>18</v>
      </c>
      <c r="I49" s="131">
        <v>10</v>
      </c>
      <c r="J49" s="131">
        <v>17</v>
      </c>
      <c r="K49" s="131">
        <v>17</v>
      </c>
      <c r="L49" s="131">
        <v>20</v>
      </c>
      <c r="M49" s="131">
        <v>18</v>
      </c>
      <c r="N49" s="131">
        <v>19</v>
      </c>
      <c r="O49" s="131">
        <v>19</v>
      </c>
      <c r="P49" s="163">
        <f>IF('Subcases Monthly'!$D$4="","",VLOOKUP('Subcases Monthly'!$D$4,DataLookUp!$A$4:$AVY$70,403,FALSE))</f>
        <v>0</v>
      </c>
      <c r="Q49" s="453">
        <f t="shared" si="22"/>
        <v>205</v>
      </c>
      <c r="R49" s="489"/>
    </row>
    <row r="50" spans="1:18" ht="20.100000000000001" customHeight="1" x14ac:dyDescent="0.2">
      <c r="B50" s="190"/>
      <c r="C50" s="461" t="s">
        <v>181</v>
      </c>
      <c r="D50" s="462"/>
      <c r="E50" s="128">
        <v>47</v>
      </c>
      <c r="F50" s="128">
        <v>38</v>
      </c>
      <c r="G50" s="128">
        <v>37</v>
      </c>
      <c r="H50" s="128">
        <v>38</v>
      </c>
      <c r="I50" s="128">
        <v>35</v>
      </c>
      <c r="J50" s="128">
        <v>50</v>
      </c>
      <c r="K50" s="128">
        <v>59</v>
      </c>
      <c r="L50" s="128">
        <v>55</v>
      </c>
      <c r="M50" s="128">
        <v>37</v>
      </c>
      <c r="N50" s="128">
        <v>49</v>
      </c>
      <c r="O50" s="128">
        <v>28</v>
      </c>
      <c r="P50" s="162">
        <f>IF('Subcases Monthly'!$D$4="","",VLOOKUP('Subcases Monthly'!$D$4,DataLookUp!$A$4:$AVY$70,416,FALSE))</f>
        <v>0</v>
      </c>
      <c r="Q50" s="453">
        <f t="shared" si="22"/>
        <v>473</v>
      </c>
      <c r="R50" s="489"/>
    </row>
    <row r="51" spans="1:18" ht="20.100000000000001" customHeight="1" x14ac:dyDescent="0.2">
      <c r="B51" s="197">
        <v>2</v>
      </c>
      <c r="C51" s="461" t="s">
        <v>391</v>
      </c>
      <c r="D51" s="462"/>
      <c r="E51" s="131">
        <v>0</v>
      </c>
      <c r="F51" s="131">
        <v>0</v>
      </c>
      <c r="G51" s="131">
        <v>0</v>
      </c>
      <c r="H51" s="131">
        <f>IF('Subcases Monthly'!$D$4="","",VLOOKUP('Subcases Monthly'!$D$4,DataLookUp!$A$4:$AVY$70,421,FALSE))</f>
        <v>0</v>
      </c>
      <c r="I51" s="131">
        <v>0</v>
      </c>
      <c r="J51" s="131">
        <f>IF('Subcases Monthly'!$D$4="","",VLOOKUP('Subcases Monthly'!$D$4,DataLookUp!$A$4:$AVY$70,423,FALSE))</f>
        <v>0</v>
      </c>
      <c r="K51" s="131">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89"/>
    </row>
    <row r="52" spans="1:18" ht="20.100000000000001" customHeight="1" x14ac:dyDescent="0.2">
      <c r="B52" s="197">
        <v>2</v>
      </c>
      <c r="C52" s="461" t="s">
        <v>404</v>
      </c>
      <c r="D52" s="462"/>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v>1</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3</v>
      </c>
      <c r="R52" s="489"/>
    </row>
    <row r="53" spans="1:18" ht="20.100000000000001" customHeight="1" x14ac:dyDescent="0.2">
      <c r="B53" s="190"/>
      <c r="C53" s="461" t="s">
        <v>182</v>
      </c>
      <c r="D53" s="462"/>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89"/>
    </row>
    <row r="54" spans="1:18" ht="20.100000000000001" customHeight="1" x14ac:dyDescent="0.2">
      <c r="B54" s="190"/>
      <c r="C54" s="461" t="s">
        <v>183</v>
      </c>
      <c r="D54" s="462"/>
      <c r="E54" s="128">
        <v>3</v>
      </c>
      <c r="F54" s="128">
        <v>9</v>
      </c>
      <c r="G54" s="128">
        <v>7</v>
      </c>
      <c r="H54" s="128">
        <v>12</v>
      </c>
      <c r="I54" s="128">
        <v>11</v>
      </c>
      <c r="J54" s="128">
        <v>10</v>
      </c>
      <c r="K54" s="128">
        <v>10</v>
      </c>
      <c r="L54" s="128">
        <v>7</v>
      </c>
      <c r="M54" s="128">
        <v>10</v>
      </c>
      <c r="N54" s="128">
        <v>12</v>
      </c>
      <c r="O54" s="128">
        <v>7</v>
      </c>
      <c r="P54" s="162">
        <f>IF('Subcases Monthly'!$D$4="","",VLOOKUP('Subcases Monthly'!$D$4,DataLookUp!$A$4:$AVY$70,468,FALSE))</f>
        <v>0</v>
      </c>
      <c r="Q54" s="453">
        <f t="shared" si="22"/>
        <v>98</v>
      </c>
      <c r="R54" s="489"/>
    </row>
    <row r="55" spans="1:18" ht="20.100000000000001" customHeight="1" x14ac:dyDescent="0.2">
      <c r="B55" s="190"/>
      <c r="C55" s="461" t="s">
        <v>184</v>
      </c>
      <c r="D55" s="462"/>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v>2</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6</v>
      </c>
      <c r="R55" s="489"/>
    </row>
    <row r="56" spans="1:18" ht="20.100000000000001" customHeight="1" x14ac:dyDescent="0.2">
      <c r="B56" s="190"/>
      <c r="C56" s="461" t="s">
        <v>185</v>
      </c>
      <c r="D56" s="462"/>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89"/>
    </row>
    <row r="57" spans="1:18" ht="20.100000000000001" customHeight="1" x14ac:dyDescent="0.2">
      <c r="B57" s="190"/>
      <c r="C57" s="461" t="s">
        <v>186</v>
      </c>
      <c r="D57" s="462"/>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89"/>
    </row>
    <row r="58" spans="1:18" ht="20.100000000000001" customHeight="1" x14ac:dyDescent="0.2">
      <c r="B58" s="190"/>
      <c r="C58" s="461" t="s">
        <v>187</v>
      </c>
      <c r="D58" s="462"/>
      <c r="E58" s="128">
        <v>3</v>
      </c>
      <c r="F58" s="128">
        <v>3</v>
      </c>
      <c r="G58" s="128">
        <v>1</v>
      </c>
      <c r="H58" s="128">
        <f>IF('Subcases Monthly'!$D$4="","",VLOOKUP('Subcases Monthly'!$D$4,DataLookUp!$A$4:$AVY$70,512,FALSE))</f>
        <v>0</v>
      </c>
      <c r="I58" s="128">
        <f>IF('Subcases Monthly'!$D$4="","",VLOOKUP('Subcases Monthly'!$D$4,DataLookUp!$A$4:$AVY$70,513,FALSE))</f>
        <v>0</v>
      </c>
      <c r="J58" s="128">
        <v>3</v>
      </c>
      <c r="K58" s="128">
        <v>1</v>
      </c>
      <c r="L58" s="128">
        <v>1</v>
      </c>
      <c r="M58" s="128">
        <v>1</v>
      </c>
      <c r="N58" s="128">
        <v>5</v>
      </c>
      <c r="O58" s="128">
        <f>IF('Subcases Monthly'!$D$4="","",VLOOKUP('Subcases Monthly'!$D$4,DataLookUp!$A$4:$AVY$70,519,FALSE))</f>
        <v>0</v>
      </c>
      <c r="P58" s="162">
        <f>IF('Subcases Monthly'!$D$4="","",VLOOKUP('Subcases Monthly'!$D$4,DataLookUp!$A$4:$AVY$70,520,FALSE))</f>
        <v>0</v>
      </c>
      <c r="Q58" s="454">
        <f t="shared" si="22"/>
        <v>18</v>
      </c>
      <c r="R58" s="489"/>
    </row>
    <row r="59" spans="1:18" ht="20.100000000000001" customHeight="1" thickBot="1" x14ac:dyDescent="0.25">
      <c r="B59" s="199">
        <v>1</v>
      </c>
      <c r="C59" s="469" t="s">
        <v>157</v>
      </c>
      <c r="D59" s="470"/>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90"/>
    </row>
    <row r="60" spans="1:18" s="13" customFormat="1" ht="20.100000000000001" customHeight="1" thickTop="1" thickBot="1" x14ac:dyDescent="0.25">
      <c r="B60" s="192"/>
      <c r="C60" s="471" t="s">
        <v>392</v>
      </c>
      <c r="D60" s="472"/>
      <c r="E60" s="211">
        <f t="shared" ref="E60:P60" si="23">SUM(E39:E59)</f>
        <v>307</v>
      </c>
      <c r="F60" s="212">
        <f t="shared" si="23"/>
        <v>242</v>
      </c>
      <c r="G60" s="212">
        <f t="shared" si="23"/>
        <v>284</v>
      </c>
      <c r="H60" s="212">
        <f t="shared" si="23"/>
        <v>262</v>
      </c>
      <c r="I60" s="212">
        <f t="shared" si="23"/>
        <v>280</v>
      </c>
      <c r="J60" s="212">
        <f t="shared" si="23"/>
        <v>379</v>
      </c>
      <c r="K60" s="212">
        <f t="shared" si="23"/>
        <v>347</v>
      </c>
      <c r="L60" s="212">
        <f t="shared" si="23"/>
        <v>368</v>
      </c>
      <c r="M60" s="212">
        <f t="shared" si="23"/>
        <v>338</v>
      </c>
      <c r="N60" s="212">
        <f t="shared" si="23"/>
        <v>359</v>
      </c>
      <c r="O60" s="212">
        <f t="shared" si="23"/>
        <v>335</v>
      </c>
      <c r="P60" s="261">
        <f t="shared" si="23"/>
        <v>0</v>
      </c>
      <c r="Q60" s="136">
        <f t="shared" si="22"/>
        <v>3501</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4" t="s">
        <v>188</v>
      </c>
      <c r="D63" s="475"/>
      <c r="E63" s="143">
        <v>498</v>
      </c>
      <c r="F63" s="143">
        <v>515</v>
      </c>
      <c r="G63" s="143">
        <v>512</v>
      </c>
      <c r="H63" s="143">
        <v>479</v>
      </c>
      <c r="I63" s="143">
        <v>455</v>
      </c>
      <c r="J63" s="143">
        <v>599</v>
      </c>
      <c r="K63" s="143">
        <v>575</v>
      </c>
      <c r="L63" s="143">
        <v>653</v>
      </c>
      <c r="M63" s="143">
        <v>543</v>
      </c>
      <c r="N63" s="143">
        <v>716</v>
      </c>
      <c r="O63" s="143">
        <v>742</v>
      </c>
      <c r="P63" s="456">
        <f>IF('Subcases Monthly'!$D$4="","",VLOOKUP('Subcases Monthly'!$D$4,DataLookUp!$A$4:$AVY$70,559,FALSE))</f>
        <v>0</v>
      </c>
      <c r="Q63" s="452">
        <f>SUM(E63:P63)</f>
        <v>6287</v>
      </c>
      <c r="R63" s="488">
        <f>IF('Subcases Monthly'!$D$4="","",VLOOKUP('Subcases Monthly'!$D$4,DataLookUp!$A$4:$AVY$70,1269,FALSE))</f>
        <v>0</v>
      </c>
    </row>
    <row r="64" spans="1:18" ht="20.100000000000001" customHeight="1" x14ac:dyDescent="0.2">
      <c r="B64" s="190"/>
      <c r="C64" s="461" t="s">
        <v>387</v>
      </c>
      <c r="D64" s="462"/>
      <c r="E64" s="142">
        <v>145</v>
      </c>
      <c r="F64" s="142">
        <v>160</v>
      </c>
      <c r="G64" s="142">
        <v>157</v>
      </c>
      <c r="H64" s="142">
        <v>170</v>
      </c>
      <c r="I64" s="142">
        <v>151</v>
      </c>
      <c r="J64" s="142">
        <v>152</v>
      </c>
      <c r="K64" s="142">
        <v>176</v>
      </c>
      <c r="L64" s="142">
        <v>184</v>
      </c>
      <c r="M64" s="142">
        <v>182</v>
      </c>
      <c r="N64" s="142">
        <v>167</v>
      </c>
      <c r="O64" s="142">
        <v>170</v>
      </c>
      <c r="P64" s="457">
        <f>IF('Subcases Monthly'!$D$4="","",VLOOKUP('Subcases Monthly'!$D$4,DataLookUp!$A$4:$AVY$70,572,FALSE))</f>
        <v>0</v>
      </c>
      <c r="Q64" s="453">
        <f>SUM(E64:P64)</f>
        <v>1814</v>
      </c>
      <c r="R64" s="489"/>
    </row>
    <row r="65" spans="1:18" ht="20.100000000000001" customHeight="1" x14ac:dyDescent="0.2">
      <c r="B65" s="190"/>
      <c r="C65" s="461" t="s">
        <v>386</v>
      </c>
      <c r="D65" s="462"/>
      <c r="E65" s="143">
        <v>151</v>
      </c>
      <c r="F65" s="143">
        <v>142</v>
      </c>
      <c r="G65" s="143">
        <v>150</v>
      </c>
      <c r="H65" s="143">
        <v>197</v>
      </c>
      <c r="I65" s="143">
        <v>51</v>
      </c>
      <c r="J65" s="143">
        <v>109</v>
      </c>
      <c r="K65" s="143">
        <v>222</v>
      </c>
      <c r="L65" s="143">
        <v>167</v>
      </c>
      <c r="M65" s="143">
        <v>207</v>
      </c>
      <c r="N65" s="143">
        <v>227</v>
      </c>
      <c r="O65" s="143">
        <v>217</v>
      </c>
      <c r="P65" s="456">
        <f>IF('Subcases Monthly'!$D$4="","",VLOOKUP('Subcases Monthly'!$D$4,DataLookUp!$A$4:$AVY$70,585,FALSE))</f>
        <v>0</v>
      </c>
      <c r="Q65" s="453">
        <f>SUM(E65:P65)</f>
        <v>1840</v>
      </c>
      <c r="R65" s="489"/>
    </row>
    <row r="66" spans="1:18" ht="20.100000000000001" customHeight="1" x14ac:dyDescent="0.2">
      <c r="B66" s="190"/>
      <c r="C66" s="461" t="s">
        <v>377</v>
      </c>
      <c r="D66" s="462"/>
      <c r="E66" s="142">
        <v>76</v>
      </c>
      <c r="F66" s="142">
        <v>51</v>
      </c>
      <c r="G66" s="142">
        <v>61</v>
      </c>
      <c r="H66" s="142">
        <v>70</v>
      </c>
      <c r="I66" s="142">
        <v>41</v>
      </c>
      <c r="J66" s="142">
        <v>58</v>
      </c>
      <c r="K66" s="142">
        <v>119</v>
      </c>
      <c r="L66" s="142">
        <v>85</v>
      </c>
      <c r="M66" s="142">
        <v>84</v>
      </c>
      <c r="N66" s="142">
        <v>100</v>
      </c>
      <c r="O66" s="142">
        <v>115</v>
      </c>
      <c r="P66" s="457">
        <f>IF('Subcases Monthly'!$D$4="","",VLOOKUP('Subcases Monthly'!$D$4,DataLookUp!$A$4:$AVY$70,598,FALSE))</f>
        <v>0</v>
      </c>
      <c r="Q66" s="453">
        <f>SUM(E66:P66)</f>
        <v>860</v>
      </c>
      <c r="R66" s="489"/>
    </row>
    <row r="67" spans="1:18" ht="20.100000000000001" customHeight="1" x14ac:dyDescent="0.2">
      <c r="B67" s="197">
        <v>4</v>
      </c>
      <c r="C67" s="461" t="s">
        <v>405</v>
      </c>
      <c r="D67" s="462"/>
      <c r="E67" s="143">
        <v>35</v>
      </c>
      <c r="F67" s="143">
        <v>35</v>
      </c>
      <c r="G67" s="143">
        <v>45</v>
      </c>
      <c r="H67" s="143">
        <v>37</v>
      </c>
      <c r="I67" s="143">
        <v>25</v>
      </c>
      <c r="J67" s="143">
        <v>34</v>
      </c>
      <c r="K67" s="143">
        <v>31</v>
      </c>
      <c r="L67" s="143">
        <v>40</v>
      </c>
      <c r="M67" s="143">
        <v>22</v>
      </c>
      <c r="N67" s="143">
        <v>37</v>
      </c>
      <c r="O67" s="143">
        <v>31</v>
      </c>
      <c r="P67" s="456">
        <f>IF('Subcases Monthly'!$D$4="","",VLOOKUP('Subcases Monthly'!$D$4,DataLookUp!$A$4:$AVY$70,611,FALSE))</f>
        <v>0</v>
      </c>
      <c r="Q67" s="453">
        <f>SUM(E67:P67)</f>
        <v>372</v>
      </c>
      <c r="R67" s="489"/>
    </row>
    <row r="68" spans="1:18" ht="20.100000000000001" customHeight="1" x14ac:dyDescent="0.2">
      <c r="B68" s="190"/>
      <c r="C68" s="461" t="s">
        <v>189</v>
      </c>
      <c r="D68" s="462"/>
      <c r="E68" s="142">
        <v>5</v>
      </c>
      <c r="F68" s="142">
        <v>3</v>
      </c>
      <c r="G68" s="142">
        <v>4</v>
      </c>
      <c r="H68" s="142">
        <v>15</v>
      </c>
      <c r="I68" s="142">
        <v>7</v>
      </c>
      <c r="J68" s="142">
        <v>5</v>
      </c>
      <c r="K68" s="142">
        <v>4</v>
      </c>
      <c r="L68" s="142">
        <v>7</v>
      </c>
      <c r="M68" s="142">
        <v>7</v>
      </c>
      <c r="N68" s="142">
        <v>6</v>
      </c>
      <c r="O68" s="142">
        <v>1</v>
      </c>
      <c r="P68" s="457">
        <f>IF('Subcases Monthly'!$D$4="","",VLOOKUP('Subcases Monthly'!$D$4,DataLookUp!$A$4:$AVY$70,624,FALSE))</f>
        <v>0</v>
      </c>
      <c r="Q68" s="453">
        <f t="shared" ref="Q68:Q73" si="25">SUM(E68:P68)</f>
        <v>64</v>
      </c>
      <c r="R68" s="489"/>
    </row>
    <row r="69" spans="1:18" ht="20.100000000000001" customHeight="1" x14ac:dyDescent="0.2">
      <c r="B69" s="190"/>
      <c r="C69" s="461" t="s">
        <v>190</v>
      </c>
      <c r="D69" s="462"/>
      <c r="E69" s="143">
        <v>269</v>
      </c>
      <c r="F69" s="143">
        <v>277</v>
      </c>
      <c r="G69" s="143">
        <v>243</v>
      </c>
      <c r="H69" s="143">
        <v>343</v>
      </c>
      <c r="I69" s="143">
        <v>219</v>
      </c>
      <c r="J69" s="143">
        <v>266</v>
      </c>
      <c r="K69" s="143">
        <v>249</v>
      </c>
      <c r="L69" s="143">
        <v>242</v>
      </c>
      <c r="M69" s="143">
        <v>286</v>
      </c>
      <c r="N69" s="143">
        <v>250</v>
      </c>
      <c r="O69" s="143">
        <v>262</v>
      </c>
      <c r="P69" s="456">
        <f>IF('Subcases Monthly'!$D$4="","",VLOOKUP('Subcases Monthly'!$D$4,DataLookUp!$A$4:$AVY$70,637,FALSE))</f>
        <v>0</v>
      </c>
      <c r="Q69" s="453">
        <f t="shared" si="25"/>
        <v>2906</v>
      </c>
      <c r="R69" s="489"/>
    </row>
    <row r="70" spans="1:18" ht="20.100000000000001" customHeight="1" x14ac:dyDescent="0.2">
      <c r="B70" s="190"/>
      <c r="C70" s="461" t="s">
        <v>191</v>
      </c>
      <c r="D70" s="462"/>
      <c r="E70" s="142">
        <v>3</v>
      </c>
      <c r="F70" s="142">
        <v>5</v>
      </c>
      <c r="G70" s="142">
        <v>1</v>
      </c>
      <c r="H70" s="142">
        <v>11</v>
      </c>
      <c r="I70" s="142">
        <v>3</v>
      </c>
      <c r="J70" s="142">
        <v>6</v>
      </c>
      <c r="K70" s="142">
        <v>15</v>
      </c>
      <c r="L70" s="142">
        <v>9</v>
      </c>
      <c r="M70" s="142">
        <v>5</v>
      </c>
      <c r="N70" s="142">
        <v>2</v>
      </c>
      <c r="O70" s="142">
        <v>2</v>
      </c>
      <c r="P70" s="457">
        <f>IF('Subcases Monthly'!$D$4="","",VLOOKUP('Subcases Monthly'!$D$4,DataLookUp!$A$4:$AVY$70,650,FALSE))</f>
        <v>0</v>
      </c>
      <c r="Q70" s="453">
        <f t="shared" si="25"/>
        <v>62</v>
      </c>
      <c r="R70" s="489"/>
    </row>
    <row r="71" spans="1:18" ht="20.100000000000001" customHeight="1" x14ac:dyDescent="0.2">
      <c r="B71" s="190"/>
      <c r="C71" s="461" t="s">
        <v>187</v>
      </c>
      <c r="D71" s="462"/>
      <c r="E71" s="143">
        <v>1</v>
      </c>
      <c r="F71" s="143">
        <v>0</v>
      </c>
      <c r="G71" s="143">
        <v>0</v>
      </c>
      <c r="H71" s="143">
        <v>1</v>
      </c>
      <c r="I71" s="143">
        <f>IF('Subcases Monthly'!$D$4="","",VLOOKUP('Subcases Monthly'!$D$4,DataLookUp!$A$4:$AVY$70,656,FALSE))</f>
        <v>0</v>
      </c>
      <c r="J71" s="143">
        <v>2</v>
      </c>
      <c r="K71" s="143">
        <v>4</v>
      </c>
      <c r="L71" s="143">
        <v>3</v>
      </c>
      <c r="M71" s="143">
        <v>6</v>
      </c>
      <c r="N71" s="143">
        <v>1</v>
      </c>
      <c r="O71" s="143">
        <v>1</v>
      </c>
      <c r="P71" s="456">
        <f>IF('Subcases Monthly'!$D$4="","",VLOOKUP('Subcases Monthly'!$D$4,DataLookUp!$A$4:$AVY$70,663,FALSE))</f>
        <v>0</v>
      </c>
      <c r="Q71" s="458">
        <f t="shared" si="25"/>
        <v>19</v>
      </c>
      <c r="R71" s="489"/>
    </row>
    <row r="72" spans="1:18" ht="20.100000000000001" customHeight="1" x14ac:dyDescent="0.2">
      <c r="B72" s="190"/>
      <c r="C72" s="461" t="s">
        <v>192</v>
      </c>
      <c r="D72" s="462"/>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89"/>
    </row>
    <row r="73" spans="1:18" ht="20.100000000000001" customHeight="1" thickBot="1" x14ac:dyDescent="0.25">
      <c r="B73" s="199">
        <v>1</v>
      </c>
      <c r="C73" s="469" t="s">
        <v>157</v>
      </c>
      <c r="D73" s="470"/>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90"/>
    </row>
    <row r="74" spans="1:18" s="13" customFormat="1" ht="20.100000000000001" customHeight="1" thickTop="1" thickBot="1" x14ac:dyDescent="0.25">
      <c r="B74" s="192"/>
      <c r="C74" s="471" t="s">
        <v>393</v>
      </c>
      <c r="D74" s="472"/>
      <c r="E74" s="211">
        <f t="shared" ref="E74:P74" si="26">SUM(E63:E73)</f>
        <v>1183</v>
      </c>
      <c r="F74" s="212">
        <f t="shared" si="26"/>
        <v>1188</v>
      </c>
      <c r="G74" s="212">
        <f t="shared" si="26"/>
        <v>1173</v>
      </c>
      <c r="H74" s="212">
        <f t="shared" si="26"/>
        <v>1323</v>
      </c>
      <c r="I74" s="212">
        <f t="shared" si="26"/>
        <v>952</v>
      </c>
      <c r="J74" s="212">
        <f t="shared" si="26"/>
        <v>1231</v>
      </c>
      <c r="K74" s="212">
        <f t="shared" si="26"/>
        <v>1395</v>
      </c>
      <c r="L74" s="212">
        <f t="shared" si="26"/>
        <v>1390</v>
      </c>
      <c r="M74" s="212">
        <f t="shared" si="26"/>
        <v>1342</v>
      </c>
      <c r="N74" s="212">
        <f t="shared" si="26"/>
        <v>1506</v>
      </c>
      <c r="O74" s="212">
        <f t="shared" si="26"/>
        <v>1541</v>
      </c>
      <c r="P74" s="261">
        <f t="shared" si="26"/>
        <v>0</v>
      </c>
      <c r="Q74" s="136">
        <f t="shared" ref="Q74" si="27">SUM(E74:P74)</f>
        <v>14224</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4" t="s">
        <v>193</v>
      </c>
      <c r="D77" s="475"/>
      <c r="E77" s="130">
        <v>181</v>
      </c>
      <c r="F77" s="131">
        <v>176</v>
      </c>
      <c r="G77" s="131">
        <v>172</v>
      </c>
      <c r="H77" s="131">
        <v>194</v>
      </c>
      <c r="I77" s="131">
        <v>216</v>
      </c>
      <c r="J77" s="131">
        <v>222</v>
      </c>
      <c r="K77" s="131">
        <v>217</v>
      </c>
      <c r="L77" s="131">
        <v>231</v>
      </c>
      <c r="M77" s="131">
        <v>195</v>
      </c>
      <c r="N77" s="131">
        <v>212</v>
      </c>
      <c r="O77" s="131">
        <v>208</v>
      </c>
      <c r="P77" s="132">
        <f>IF('Subcases Monthly'!$D$4="","",VLOOKUP('Subcases Monthly'!$D$4,DataLookUp!$A$4:$AVY$70,715,FALSE))</f>
        <v>0</v>
      </c>
      <c r="Q77" s="133">
        <f t="shared" ref="Q77:Q94" si="39">SUM(E77:P77)</f>
        <v>2224</v>
      </c>
      <c r="R77" s="485">
        <f>IF('Subcases Monthly'!$D$4="","",VLOOKUP('Subcases Monthly'!$D$4,DataLookUp!$A$4:$AVY$70,1270,FALSE))</f>
        <v>0</v>
      </c>
    </row>
    <row r="78" spans="1:18" ht="20.100000000000001" customHeight="1" x14ac:dyDescent="0.2">
      <c r="B78" s="190"/>
      <c r="C78" s="461" t="s">
        <v>194</v>
      </c>
      <c r="D78" s="462"/>
      <c r="E78" s="127">
        <v>42</v>
      </c>
      <c r="F78" s="128">
        <v>20</v>
      </c>
      <c r="G78" s="128">
        <v>18</v>
      </c>
      <c r="H78" s="128">
        <v>33</v>
      </c>
      <c r="I78" s="128">
        <v>20</v>
      </c>
      <c r="J78" s="128">
        <v>25</v>
      </c>
      <c r="K78" s="128">
        <v>25</v>
      </c>
      <c r="L78" s="128">
        <v>33</v>
      </c>
      <c r="M78" s="128">
        <v>37</v>
      </c>
      <c r="N78" s="128">
        <v>21</v>
      </c>
      <c r="O78" s="128">
        <v>37</v>
      </c>
      <c r="P78" s="129">
        <f>IF('Subcases Monthly'!$D$4="","",VLOOKUP('Subcases Monthly'!$D$4,DataLookUp!$A$4:$AVY$70,728,FALSE))</f>
        <v>0</v>
      </c>
      <c r="Q78" s="134">
        <f t="shared" si="39"/>
        <v>311</v>
      </c>
      <c r="R78" s="486"/>
    </row>
    <row r="79" spans="1:18" ht="20.100000000000001" customHeight="1" x14ac:dyDescent="0.2">
      <c r="B79" s="190"/>
      <c r="C79" s="461" t="s">
        <v>195</v>
      </c>
      <c r="D79" s="462"/>
      <c r="E79" s="130">
        <v>1</v>
      </c>
      <c r="F79" s="131">
        <v>1</v>
      </c>
      <c r="G79" s="131">
        <v>1</v>
      </c>
      <c r="H79" s="131">
        <f>IF('Subcases Monthly'!$D$4="","",VLOOKUP('Subcases Monthly'!$D$4,DataLookUp!$A$4:$AVY$70,733,FALSE))</f>
        <v>0</v>
      </c>
      <c r="I79" s="131">
        <v>1</v>
      </c>
      <c r="J79" s="131">
        <v>2</v>
      </c>
      <c r="K79" s="131">
        <v>2</v>
      </c>
      <c r="L79" s="131">
        <v>2</v>
      </c>
      <c r="M79" s="131">
        <v>3</v>
      </c>
      <c r="N79" s="131">
        <v>3</v>
      </c>
      <c r="O79" s="131">
        <v>3</v>
      </c>
      <c r="P79" s="132">
        <f>IF('Subcases Monthly'!$D$4="","",VLOOKUP('Subcases Monthly'!$D$4,DataLookUp!$A$4:$AVY$70,741,FALSE))</f>
        <v>0</v>
      </c>
      <c r="Q79" s="134">
        <f t="shared" si="39"/>
        <v>19</v>
      </c>
      <c r="R79" s="486"/>
    </row>
    <row r="80" spans="1:18" ht="20.100000000000001" customHeight="1" x14ac:dyDescent="0.2">
      <c r="B80" s="190"/>
      <c r="C80" s="461" t="s">
        <v>196</v>
      </c>
      <c r="D80" s="462"/>
      <c r="E80" s="127">
        <v>42</v>
      </c>
      <c r="F80" s="128">
        <v>45</v>
      </c>
      <c r="G80" s="128">
        <v>55</v>
      </c>
      <c r="H80" s="128">
        <v>64</v>
      </c>
      <c r="I80" s="128">
        <v>53</v>
      </c>
      <c r="J80" s="128">
        <v>40</v>
      </c>
      <c r="K80" s="128">
        <v>58</v>
      </c>
      <c r="L80" s="128">
        <v>53</v>
      </c>
      <c r="M80" s="128">
        <v>57</v>
      </c>
      <c r="N80" s="128">
        <v>52</v>
      </c>
      <c r="O80" s="128">
        <v>52</v>
      </c>
      <c r="P80" s="129">
        <f>IF('Subcases Monthly'!$D$4="","",VLOOKUP('Subcases Monthly'!$D$4,DataLookUp!$A$4:$AVY$70,754,FALSE))</f>
        <v>0</v>
      </c>
      <c r="Q80" s="134">
        <f t="shared" si="39"/>
        <v>571</v>
      </c>
      <c r="R80" s="486"/>
    </row>
    <row r="81" spans="1:18" ht="20.100000000000001" customHeight="1" x14ac:dyDescent="0.2">
      <c r="B81" s="190"/>
      <c r="C81" s="461" t="s">
        <v>197</v>
      </c>
      <c r="D81" s="462"/>
      <c r="E81" s="130">
        <v>16</v>
      </c>
      <c r="F81" s="131">
        <v>20</v>
      </c>
      <c r="G81" s="131">
        <v>16</v>
      </c>
      <c r="H81" s="131">
        <v>12</v>
      </c>
      <c r="I81" s="131">
        <v>19</v>
      </c>
      <c r="J81" s="131">
        <v>10</v>
      </c>
      <c r="K81" s="131">
        <v>12</v>
      </c>
      <c r="L81" s="131">
        <v>8</v>
      </c>
      <c r="M81" s="131">
        <v>12</v>
      </c>
      <c r="N81" s="131">
        <v>22</v>
      </c>
      <c r="O81" s="131">
        <v>13</v>
      </c>
      <c r="P81" s="132">
        <f>IF('Subcases Monthly'!$D$4="","",VLOOKUP('Subcases Monthly'!$D$4,DataLookUp!$A$4:$AVY$70,767,FALSE))</f>
        <v>0</v>
      </c>
      <c r="Q81" s="134">
        <f t="shared" si="39"/>
        <v>160</v>
      </c>
      <c r="R81" s="486"/>
    </row>
    <row r="82" spans="1:18" ht="20.100000000000001" customHeight="1" x14ac:dyDescent="0.2">
      <c r="B82" s="190"/>
      <c r="C82" s="461" t="s">
        <v>198</v>
      </c>
      <c r="D82" s="462"/>
      <c r="E82" s="127">
        <v>22</v>
      </c>
      <c r="F82" s="128">
        <v>9</v>
      </c>
      <c r="G82" s="128">
        <v>11</v>
      </c>
      <c r="H82" s="128">
        <v>12</v>
      </c>
      <c r="I82" s="128">
        <v>12</v>
      </c>
      <c r="J82" s="128">
        <v>16</v>
      </c>
      <c r="K82" s="128">
        <v>14</v>
      </c>
      <c r="L82" s="128">
        <v>17</v>
      </c>
      <c r="M82" s="128">
        <v>13</v>
      </c>
      <c r="N82" s="128">
        <v>8</v>
      </c>
      <c r="O82" s="128">
        <v>16</v>
      </c>
      <c r="P82" s="129">
        <f>IF('Subcases Monthly'!$D$4="","",VLOOKUP('Subcases Monthly'!$D$4,DataLookUp!$A$4:$AVY$70,780,FALSE))</f>
        <v>0</v>
      </c>
      <c r="Q82" s="134">
        <f t="shared" si="39"/>
        <v>150</v>
      </c>
      <c r="R82" s="486"/>
    </row>
    <row r="83" spans="1:18" ht="20.100000000000001" customHeight="1" x14ac:dyDescent="0.2">
      <c r="B83" s="197">
        <v>2</v>
      </c>
      <c r="C83" s="461" t="s">
        <v>391</v>
      </c>
      <c r="D83" s="462"/>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86"/>
    </row>
    <row r="84" spans="1:18" ht="20.100000000000001" customHeight="1" x14ac:dyDescent="0.2">
      <c r="B84" s="190"/>
      <c r="C84" s="461" t="s">
        <v>300</v>
      </c>
      <c r="D84" s="462"/>
      <c r="E84" s="127">
        <v>3</v>
      </c>
      <c r="F84" s="128">
        <v>9</v>
      </c>
      <c r="G84" s="128">
        <v>2</v>
      </c>
      <c r="H84" s="128">
        <v>6</v>
      </c>
      <c r="I84" s="128">
        <v>2</v>
      </c>
      <c r="J84" s="128">
        <v>2</v>
      </c>
      <c r="K84" s="128">
        <v>4</v>
      </c>
      <c r="L84" s="128">
        <v>7</v>
      </c>
      <c r="M84" s="128">
        <f>IF('Subcases Monthly'!$D$4="","",VLOOKUP('Subcases Monthly'!$D$4,DataLookUp!$A$4:$AVY$70,803,FALSE))</f>
        <v>0</v>
      </c>
      <c r="N84" s="128">
        <v>5</v>
      </c>
      <c r="O84" s="128">
        <v>2</v>
      </c>
      <c r="P84" s="129">
        <f>IF('Subcases Monthly'!$D$4="","",VLOOKUP('Subcases Monthly'!$D$4,DataLookUp!$A$4:$AVY$70,806,FALSE))</f>
        <v>0</v>
      </c>
      <c r="Q84" s="134">
        <f t="shared" si="39"/>
        <v>42</v>
      </c>
      <c r="R84" s="486"/>
    </row>
    <row r="85" spans="1:18" ht="20.100000000000001" customHeight="1" x14ac:dyDescent="0.2">
      <c r="B85" s="190"/>
      <c r="C85" s="461" t="s">
        <v>199</v>
      </c>
      <c r="D85" s="462"/>
      <c r="E85" s="130">
        <v>133</v>
      </c>
      <c r="F85" s="131">
        <v>136</v>
      </c>
      <c r="G85" s="131">
        <v>106</v>
      </c>
      <c r="H85" s="131">
        <v>150</v>
      </c>
      <c r="I85" s="131">
        <v>130</v>
      </c>
      <c r="J85" s="131">
        <v>145</v>
      </c>
      <c r="K85" s="131">
        <v>146</v>
      </c>
      <c r="L85" s="131">
        <v>131</v>
      </c>
      <c r="M85" s="131">
        <v>140</v>
      </c>
      <c r="N85" s="131">
        <v>131</v>
      </c>
      <c r="O85" s="131">
        <v>133</v>
      </c>
      <c r="P85" s="132">
        <f>IF('Subcases Monthly'!$D$4="","",VLOOKUP('Subcases Monthly'!$D$4,DataLookUp!$A$4:$AVY$70,815,FALSE))</f>
        <v>0</v>
      </c>
      <c r="Q85" s="134">
        <f t="shared" si="39"/>
        <v>1481</v>
      </c>
      <c r="R85" s="486"/>
    </row>
    <row r="86" spans="1:18" ht="20.100000000000001" customHeight="1" x14ac:dyDescent="0.2">
      <c r="B86" s="190"/>
      <c r="C86" s="461" t="s">
        <v>200</v>
      </c>
      <c r="D86" s="462"/>
      <c r="E86" s="127">
        <v>124</v>
      </c>
      <c r="F86" s="128">
        <v>128</v>
      </c>
      <c r="G86" s="128">
        <v>145</v>
      </c>
      <c r="H86" s="128">
        <v>120</v>
      </c>
      <c r="I86" s="128">
        <v>118</v>
      </c>
      <c r="J86" s="128">
        <v>112</v>
      </c>
      <c r="K86" s="128">
        <v>169</v>
      </c>
      <c r="L86" s="128">
        <v>146</v>
      </c>
      <c r="M86" s="128">
        <v>111</v>
      </c>
      <c r="N86" s="128">
        <v>143</v>
      </c>
      <c r="O86" s="128">
        <v>142</v>
      </c>
      <c r="P86" s="129">
        <f>IF('Subcases Monthly'!$D$4="","",VLOOKUP('Subcases Monthly'!$D$4,DataLookUp!$A$4:$AVY$70,828,FALSE))</f>
        <v>0</v>
      </c>
      <c r="Q86" s="134">
        <f t="shared" si="39"/>
        <v>1458</v>
      </c>
      <c r="R86" s="486"/>
    </row>
    <row r="87" spans="1:18" ht="20.100000000000001" customHeight="1" x14ac:dyDescent="0.2">
      <c r="B87" s="190"/>
      <c r="C87" s="461" t="s">
        <v>201</v>
      </c>
      <c r="D87" s="462"/>
      <c r="E87" s="130">
        <v>35</v>
      </c>
      <c r="F87" s="131">
        <v>38</v>
      </c>
      <c r="G87" s="131">
        <v>31</v>
      </c>
      <c r="H87" s="131">
        <v>45</v>
      </c>
      <c r="I87" s="131">
        <v>41</v>
      </c>
      <c r="J87" s="131">
        <v>43</v>
      </c>
      <c r="K87" s="131">
        <v>45</v>
      </c>
      <c r="L87" s="131">
        <v>47</v>
      </c>
      <c r="M87" s="131">
        <v>47</v>
      </c>
      <c r="N87" s="131">
        <v>32</v>
      </c>
      <c r="O87" s="131">
        <v>31</v>
      </c>
      <c r="P87" s="132">
        <f>IF('Subcases Monthly'!$D$4="","",VLOOKUP('Subcases Monthly'!$D$4,DataLookUp!$A$4:$AVY$70,841,FALSE))</f>
        <v>0</v>
      </c>
      <c r="Q87" s="137">
        <f t="shared" si="39"/>
        <v>435</v>
      </c>
      <c r="R87" s="486"/>
    </row>
    <row r="88" spans="1:18" ht="20.100000000000001" customHeight="1" x14ac:dyDescent="0.2">
      <c r="B88" s="190"/>
      <c r="C88" s="461" t="s">
        <v>202</v>
      </c>
      <c r="D88" s="462"/>
      <c r="E88" s="127">
        <f>IF('Subcases Monthly'!$D$4="","",VLOOKUP('Subcases Monthly'!$D$4,DataLookUp!$A$4:$AVY$70,847,FALSE))</f>
        <v>0</v>
      </c>
      <c r="F88" s="128">
        <v>1</v>
      </c>
      <c r="G88" s="128">
        <v>1</v>
      </c>
      <c r="H88" s="128">
        <v>2</v>
      </c>
      <c r="I88" s="128">
        <v>2</v>
      </c>
      <c r="J88" s="128">
        <f>IF('Subcases Monthly'!$D$4="","",VLOOKUP('Subcases Monthly'!$D$4,DataLookUp!$A$4:$AVY$70,852,FALSE))</f>
        <v>0</v>
      </c>
      <c r="K88" s="128">
        <v>3</v>
      </c>
      <c r="L88" s="128">
        <v>1</v>
      </c>
      <c r="M88" s="128">
        <f>IF('Subcases Monthly'!$D$4="","",VLOOKUP('Subcases Monthly'!$D$4,DataLookUp!$A$4:$AVY$70,854,FALSE))</f>
        <v>0</v>
      </c>
      <c r="N88" s="128">
        <v>1</v>
      </c>
      <c r="O88" s="128">
        <v>1</v>
      </c>
      <c r="P88" s="129">
        <f>IF('Subcases Monthly'!$D$4="","",VLOOKUP('Subcases Monthly'!$D$4,DataLookUp!$A$4:$AVY$70,854,FALSE))</f>
        <v>0</v>
      </c>
      <c r="Q88" s="138">
        <f t="shared" si="39"/>
        <v>12</v>
      </c>
      <c r="R88" s="486"/>
    </row>
    <row r="89" spans="1:18" ht="20.100000000000001" customHeight="1" x14ac:dyDescent="0.2">
      <c r="B89" s="190"/>
      <c r="C89" s="461" t="s">
        <v>203</v>
      </c>
      <c r="D89" s="462"/>
      <c r="E89" s="130">
        <v>6</v>
      </c>
      <c r="F89" s="131">
        <v>7</v>
      </c>
      <c r="G89" s="131">
        <v>2</v>
      </c>
      <c r="H89" s="131">
        <v>1</v>
      </c>
      <c r="I89" s="131">
        <v>16</v>
      </c>
      <c r="J89" s="131">
        <v>17</v>
      </c>
      <c r="K89" s="131">
        <v>3</v>
      </c>
      <c r="L89" s="131">
        <v>6</v>
      </c>
      <c r="M89" s="131">
        <v>7</v>
      </c>
      <c r="N89" s="131">
        <v>10</v>
      </c>
      <c r="O89" s="131">
        <v>14</v>
      </c>
      <c r="P89" s="132">
        <f>IF('Subcases Monthly'!$D$4="","",VLOOKUP('Subcases Monthly'!$D$4,DataLookUp!$A$4:$AVY$70,867,FALSE))</f>
        <v>0</v>
      </c>
      <c r="Q89" s="138">
        <f t="shared" si="39"/>
        <v>89</v>
      </c>
      <c r="R89" s="486"/>
    </row>
    <row r="90" spans="1:18" ht="20.100000000000001" customHeight="1" x14ac:dyDescent="0.2">
      <c r="B90" s="190"/>
      <c r="C90" s="461" t="s">
        <v>204</v>
      </c>
      <c r="D90" s="462"/>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86"/>
    </row>
    <row r="91" spans="1:18" ht="20.100000000000001" customHeight="1" x14ac:dyDescent="0.2">
      <c r="B91" s="190"/>
      <c r="C91" s="461" t="s">
        <v>205</v>
      </c>
      <c r="D91" s="462"/>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86"/>
    </row>
    <row r="92" spans="1:18" ht="20.100000000000001" customHeight="1" x14ac:dyDescent="0.2">
      <c r="B92" s="190"/>
      <c r="C92" s="461" t="s">
        <v>388</v>
      </c>
      <c r="D92" s="462"/>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v>1</v>
      </c>
      <c r="K92" s="128">
        <v>1</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3</v>
      </c>
      <c r="R92" s="486"/>
    </row>
    <row r="93" spans="1:18" ht="20.100000000000001" customHeight="1" thickBot="1" x14ac:dyDescent="0.25">
      <c r="B93" s="199">
        <v>1</v>
      </c>
      <c r="C93" s="469" t="s">
        <v>157</v>
      </c>
      <c r="D93" s="470"/>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87"/>
    </row>
    <row r="94" spans="1:18" s="13" customFormat="1" ht="20.100000000000001" customHeight="1" thickTop="1" thickBot="1" x14ac:dyDescent="0.25">
      <c r="B94" s="192"/>
      <c r="C94" s="471" t="s">
        <v>394</v>
      </c>
      <c r="D94" s="472"/>
      <c r="E94" s="211">
        <f t="shared" ref="E94:P94" si="40">SUM(E77:E93)</f>
        <v>605</v>
      </c>
      <c r="F94" s="212">
        <f t="shared" si="40"/>
        <v>591</v>
      </c>
      <c r="G94" s="212">
        <f t="shared" si="40"/>
        <v>560</v>
      </c>
      <c r="H94" s="212">
        <f t="shared" si="40"/>
        <v>639</v>
      </c>
      <c r="I94" s="212">
        <f t="shared" si="40"/>
        <v>630</v>
      </c>
      <c r="J94" s="212">
        <f t="shared" si="40"/>
        <v>635</v>
      </c>
      <c r="K94" s="212">
        <f t="shared" si="40"/>
        <v>699</v>
      </c>
      <c r="L94" s="212">
        <f t="shared" si="40"/>
        <v>682</v>
      </c>
      <c r="M94" s="212">
        <f t="shared" si="40"/>
        <v>622</v>
      </c>
      <c r="N94" s="212">
        <f t="shared" si="40"/>
        <v>640</v>
      </c>
      <c r="O94" s="212">
        <f t="shared" si="40"/>
        <v>652</v>
      </c>
      <c r="P94" s="213">
        <f t="shared" si="40"/>
        <v>0</v>
      </c>
      <c r="Q94" s="140">
        <f t="shared" si="39"/>
        <v>6955</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4" t="s">
        <v>206</v>
      </c>
      <c r="D97" s="475"/>
      <c r="E97" s="124">
        <v>23</v>
      </c>
      <c r="F97" s="125">
        <v>21</v>
      </c>
      <c r="G97" s="125">
        <v>18</v>
      </c>
      <c r="H97" s="125">
        <v>23</v>
      </c>
      <c r="I97" s="125">
        <v>16</v>
      </c>
      <c r="J97" s="125">
        <v>19</v>
      </c>
      <c r="K97" s="125">
        <v>15</v>
      </c>
      <c r="L97" s="125">
        <v>18</v>
      </c>
      <c r="M97" s="125">
        <v>18</v>
      </c>
      <c r="N97" s="125">
        <v>13</v>
      </c>
      <c r="O97" s="125">
        <v>10</v>
      </c>
      <c r="P97" s="126">
        <f>IF('Subcases Monthly'!$D$4="","",VLOOKUP('Subcases Monthly'!$D$4,DataLookUp!$A$4:$AVY$70,949,FALSE))</f>
        <v>0</v>
      </c>
      <c r="Q97" s="133">
        <f t="shared" ref="Q97:Q108" si="42">SUM(E97:P97)</f>
        <v>194</v>
      </c>
      <c r="R97" s="485">
        <f>IF('Subcases Monthly'!$D$4="","",VLOOKUP('Subcases Monthly'!$D$4,DataLookUp!$A$4:$AVY$70,1271,FALSE))</f>
        <v>0</v>
      </c>
    </row>
    <row r="98" spans="1:18" ht="20.100000000000001" customHeight="1" x14ac:dyDescent="0.2">
      <c r="A98" s="8"/>
      <c r="B98" s="190"/>
      <c r="C98" s="461" t="s">
        <v>207</v>
      </c>
      <c r="D98" s="462"/>
      <c r="E98" s="127">
        <v>156</v>
      </c>
      <c r="F98" s="128">
        <v>131</v>
      </c>
      <c r="G98" s="128">
        <v>120</v>
      </c>
      <c r="H98" s="128">
        <v>146</v>
      </c>
      <c r="I98" s="128">
        <v>135</v>
      </c>
      <c r="J98" s="128">
        <v>157</v>
      </c>
      <c r="K98" s="128">
        <v>183</v>
      </c>
      <c r="L98" s="128">
        <v>154</v>
      </c>
      <c r="M98" s="128">
        <v>158</v>
      </c>
      <c r="N98" s="128">
        <v>164</v>
      </c>
      <c r="O98" s="128">
        <v>131</v>
      </c>
      <c r="P98" s="129">
        <f>IF('Subcases Monthly'!$D$4="","",VLOOKUP('Subcases Monthly'!$D$4,DataLookUp!$A$4:$AVY$70,962,FALSE))</f>
        <v>0</v>
      </c>
      <c r="Q98" s="134">
        <f t="shared" si="42"/>
        <v>1635</v>
      </c>
      <c r="R98" s="486"/>
    </row>
    <row r="99" spans="1:18" ht="20.100000000000001" customHeight="1" x14ac:dyDescent="0.2">
      <c r="A99" s="8"/>
      <c r="B99" s="190"/>
      <c r="C99" s="461" t="s">
        <v>208</v>
      </c>
      <c r="D99" s="462"/>
      <c r="E99" s="130">
        <v>175</v>
      </c>
      <c r="F99" s="131">
        <v>146</v>
      </c>
      <c r="G99" s="131">
        <v>136</v>
      </c>
      <c r="H99" s="131">
        <v>149</v>
      </c>
      <c r="I99" s="131">
        <v>140</v>
      </c>
      <c r="J99" s="131">
        <v>164</v>
      </c>
      <c r="K99" s="131">
        <v>164</v>
      </c>
      <c r="L99" s="131">
        <v>145</v>
      </c>
      <c r="M99" s="131">
        <v>169</v>
      </c>
      <c r="N99" s="131">
        <v>184</v>
      </c>
      <c r="O99" s="131">
        <v>166</v>
      </c>
      <c r="P99" s="132">
        <f>IF('Subcases Monthly'!$D$4="","",VLOOKUP('Subcases Monthly'!$D$4,DataLookUp!$A$4:$AVY$70,975,FALSE))</f>
        <v>0</v>
      </c>
      <c r="Q99" s="134">
        <f t="shared" si="42"/>
        <v>1738</v>
      </c>
      <c r="R99" s="486"/>
    </row>
    <row r="100" spans="1:18" ht="20.100000000000001" customHeight="1" x14ac:dyDescent="0.2">
      <c r="A100" s="8"/>
      <c r="B100" s="190"/>
      <c r="C100" s="461" t="s">
        <v>209</v>
      </c>
      <c r="D100" s="462"/>
      <c r="E100" s="127">
        <v>11</v>
      </c>
      <c r="F100" s="128">
        <v>9</v>
      </c>
      <c r="G100" s="128">
        <v>8</v>
      </c>
      <c r="H100" s="128">
        <v>5</v>
      </c>
      <c r="I100" s="128">
        <v>13</v>
      </c>
      <c r="J100" s="128">
        <v>11</v>
      </c>
      <c r="K100" s="128">
        <v>11</v>
      </c>
      <c r="L100" s="128">
        <v>7</v>
      </c>
      <c r="M100" s="128">
        <v>18</v>
      </c>
      <c r="N100" s="128">
        <v>15</v>
      </c>
      <c r="O100" s="128">
        <v>14</v>
      </c>
      <c r="P100" s="129">
        <f>IF('Subcases Monthly'!$D$4="","",VLOOKUP('Subcases Monthly'!$D$4,DataLookUp!$A$4:$AVY$70,988,FALSE))</f>
        <v>0</v>
      </c>
      <c r="Q100" s="134">
        <f t="shared" si="42"/>
        <v>122</v>
      </c>
      <c r="R100" s="486"/>
    </row>
    <row r="101" spans="1:18" ht="20.100000000000001" customHeight="1" x14ac:dyDescent="0.2">
      <c r="A101" s="8"/>
      <c r="B101" s="190"/>
      <c r="C101" s="461" t="s">
        <v>210</v>
      </c>
      <c r="D101" s="462"/>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v>2</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10</v>
      </c>
      <c r="R101" s="486"/>
    </row>
    <row r="102" spans="1:18" ht="20.100000000000001" customHeight="1" x14ac:dyDescent="0.2">
      <c r="A102" s="8"/>
      <c r="B102" s="190"/>
      <c r="C102" s="461" t="s">
        <v>211</v>
      </c>
      <c r="D102" s="462"/>
      <c r="E102" s="127">
        <v>15</v>
      </c>
      <c r="F102" s="128">
        <v>12</v>
      </c>
      <c r="G102" s="128">
        <v>11</v>
      </c>
      <c r="H102" s="128">
        <v>17</v>
      </c>
      <c r="I102" s="128">
        <v>9</v>
      </c>
      <c r="J102" s="128">
        <v>12</v>
      </c>
      <c r="K102" s="128">
        <v>11</v>
      </c>
      <c r="L102" s="128">
        <v>23</v>
      </c>
      <c r="M102" s="128">
        <v>19</v>
      </c>
      <c r="N102" s="128">
        <v>17</v>
      </c>
      <c r="O102" s="128">
        <v>14</v>
      </c>
      <c r="P102" s="129">
        <f>IF('Subcases Monthly'!$D$4="","",VLOOKUP('Subcases Monthly'!$D$4,DataLookUp!$A$4:$AVY$70,1014,FALSE))</f>
        <v>0</v>
      </c>
      <c r="Q102" s="134">
        <f t="shared" si="42"/>
        <v>160</v>
      </c>
      <c r="R102" s="486"/>
    </row>
    <row r="103" spans="1:18" ht="20.100000000000001" customHeight="1" x14ac:dyDescent="0.2">
      <c r="A103" s="8"/>
      <c r="B103" s="190"/>
      <c r="C103" s="461" t="s">
        <v>212</v>
      </c>
      <c r="D103" s="462"/>
      <c r="E103" s="130">
        <v>15</v>
      </c>
      <c r="F103" s="131">
        <v>22</v>
      </c>
      <c r="G103" s="131">
        <v>12</v>
      </c>
      <c r="H103" s="131">
        <v>23</v>
      </c>
      <c r="I103" s="131">
        <v>11</v>
      </c>
      <c r="J103" s="131">
        <v>13</v>
      </c>
      <c r="K103" s="131">
        <v>16</v>
      </c>
      <c r="L103" s="131">
        <v>16</v>
      </c>
      <c r="M103" s="131">
        <v>16</v>
      </c>
      <c r="N103" s="131">
        <v>14</v>
      </c>
      <c r="O103" s="131">
        <v>19</v>
      </c>
      <c r="P103" s="132">
        <f>IF('Subcases Monthly'!$D$4="","",VLOOKUP('Subcases Monthly'!$D$4,DataLookUp!$A$4:$AVY$70,1027,FALSE))</f>
        <v>0</v>
      </c>
      <c r="Q103" s="134">
        <f t="shared" si="42"/>
        <v>177</v>
      </c>
      <c r="R103" s="486"/>
    </row>
    <row r="104" spans="1:18" ht="20.100000000000001" customHeight="1" x14ac:dyDescent="0.2">
      <c r="A104" s="8"/>
      <c r="B104" s="190"/>
      <c r="C104" s="461" t="s">
        <v>213</v>
      </c>
      <c r="D104" s="462"/>
      <c r="E104" s="127">
        <v>20</v>
      </c>
      <c r="F104" s="128">
        <v>19</v>
      </c>
      <c r="G104" s="128">
        <v>19</v>
      </c>
      <c r="H104" s="128">
        <v>38</v>
      </c>
      <c r="I104" s="128">
        <v>26</v>
      </c>
      <c r="J104" s="128">
        <v>30</v>
      </c>
      <c r="K104" s="128">
        <v>28</v>
      </c>
      <c r="L104" s="128">
        <v>23</v>
      </c>
      <c r="M104" s="128">
        <v>22</v>
      </c>
      <c r="N104" s="128">
        <v>26</v>
      </c>
      <c r="O104" s="128">
        <v>22</v>
      </c>
      <c r="P104" s="129">
        <f>IF('Subcases Monthly'!$D$4="","",VLOOKUP('Subcases Monthly'!$D$4,DataLookUp!$A$4:$AVY$70,1040,FALSE))</f>
        <v>0</v>
      </c>
      <c r="Q104" s="134">
        <f t="shared" si="42"/>
        <v>273</v>
      </c>
      <c r="R104" s="486"/>
    </row>
    <row r="105" spans="1:18" ht="20.100000000000001" customHeight="1" x14ac:dyDescent="0.2">
      <c r="A105" s="8"/>
      <c r="B105" s="190"/>
      <c r="C105" s="461" t="s">
        <v>214</v>
      </c>
      <c r="D105" s="462"/>
      <c r="E105" s="130">
        <v>21</v>
      </c>
      <c r="F105" s="131">
        <v>18</v>
      </c>
      <c r="G105" s="131">
        <v>32</v>
      </c>
      <c r="H105" s="131">
        <v>35</v>
      </c>
      <c r="I105" s="131">
        <v>30</v>
      </c>
      <c r="J105" s="131">
        <v>40</v>
      </c>
      <c r="K105" s="131">
        <v>29</v>
      </c>
      <c r="L105" s="131">
        <v>28</v>
      </c>
      <c r="M105" s="131">
        <v>33</v>
      </c>
      <c r="N105" s="131">
        <v>36</v>
      </c>
      <c r="O105" s="131">
        <v>51</v>
      </c>
      <c r="P105" s="132">
        <f>IF('Subcases Monthly'!$D$4="","",VLOOKUP('Subcases Monthly'!$D$4,DataLookUp!$A$4:$AVY$70,1053,FALSE))</f>
        <v>0</v>
      </c>
      <c r="Q105" s="134">
        <f t="shared" si="42"/>
        <v>353</v>
      </c>
      <c r="R105" s="486"/>
    </row>
    <row r="106" spans="1:18" ht="20.100000000000001" customHeight="1" x14ac:dyDescent="0.2">
      <c r="A106" s="8"/>
      <c r="B106" s="190"/>
      <c r="C106" s="461" t="s">
        <v>215</v>
      </c>
      <c r="D106" s="462"/>
      <c r="E106" s="127">
        <v>21</v>
      </c>
      <c r="F106" s="128">
        <v>31</v>
      </c>
      <c r="G106" s="128">
        <v>58</v>
      </c>
      <c r="H106" s="128">
        <v>47</v>
      </c>
      <c r="I106" s="128">
        <v>50</v>
      </c>
      <c r="J106" s="128">
        <v>44</v>
      </c>
      <c r="K106" s="128">
        <v>40</v>
      </c>
      <c r="L106" s="128">
        <v>35</v>
      </c>
      <c r="M106" s="128">
        <v>39</v>
      </c>
      <c r="N106" s="128">
        <v>50</v>
      </c>
      <c r="O106" s="128">
        <v>44</v>
      </c>
      <c r="P106" s="129">
        <f>IF('Subcases Monthly'!$D$4="","",VLOOKUP('Subcases Monthly'!$D$4,DataLookUp!$A$4:$AVY$70,1066,FALSE))</f>
        <v>0</v>
      </c>
      <c r="Q106" s="135">
        <f t="shared" si="42"/>
        <v>459</v>
      </c>
      <c r="R106" s="486"/>
    </row>
    <row r="107" spans="1:18" ht="20.100000000000001" customHeight="1" thickBot="1" x14ac:dyDescent="0.25">
      <c r="A107" s="8"/>
      <c r="B107" s="199">
        <v>1</v>
      </c>
      <c r="C107" s="469" t="s">
        <v>157</v>
      </c>
      <c r="D107" s="470"/>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87"/>
    </row>
    <row r="108" spans="1:18" ht="20.100000000000001" customHeight="1" thickTop="1" thickBot="1" x14ac:dyDescent="0.25">
      <c r="A108" s="8"/>
      <c r="B108" s="192"/>
      <c r="C108" s="471" t="s">
        <v>395</v>
      </c>
      <c r="D108" s="472"/>
      <c r="E108" s="244">
        <f>SUM(E97:E107)</f>
        <v>458</v>
      </c>
      <c r="F108" s="245">
        <f t="shared" ref="F108:P108" si="43">SUM(F97:F107)</f>
        <v>410</v>
      </c>
      <c r="G108" s="245">
        <f t="shared" si="43"/>
        <v>415</v>
      </c>
      <c r="H108" s="245">
        <f t="shared" si="43"/>
        <v>484</v>
      </c>
      <c r="I108" s="245">
        <f t="shared" si="43"/>
        <v>434</v>
      </c>
      <c r="J108" s="245">
        <f t="shared" si="43"/>
        <v>490</v>
      </c>
      <c r="K108" s="245">
        <f t="shared" si="43"/>
        <v>497</v>
      </c>
      <c r="L108" s="245">
        <f t="shared" si="43"/>
        <v>449</v>
      </c>
      <c r="M108" s="245">
        <f t="shared" si="43"/>
        <v>494</v>
      </c>
      <c r="N108" s="245">
        <f t="shared" si="43"/>
        <v>519</v>
      </c>
      <c r="O108" s="245">
        <f t="shared" si="43"/>
        <v>471</v>
      </c>
      <c r="P108" s="246">
        <f t="shared" si="43"/>
        <v>0</v>
      </c>
      <c r="Q108" s="146">
        <f t="shared" si="42"/>
        <v>5121</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4" t="s">
        <v>216</v>
      </c>
      <c r="D111" s="475"/>
      <c r="E111" s="124">
        <v>15</v>
      </c>
      <c r="F111" s="125">
        <v>18</v>
      </c>
      <c r="G111" s="125">
        <v>20</v>
      </c>
      <c r="H111" s="125">
        <v>10</v>
      </c>
      <c r="I111" s="125">
        <v>10</v>
      </c>
      <c r="J111" s="125">
        <v>19</v>
      </c>
      <c r="K111" s="125">
        <v>14</v>
      </c>
      <c r="L111" s="125">
        <v>12</v>
      </c>
      <c r="M111" s="125">
        <v>13</v>
      </c>
      <c r="N111" s="125">
        <v>24</v>
      </c>
      <c r="O111" s="125">
        <v>16</v>
      </c>
      <c r="P111" s="126">
        <f>IF('Subcases Monthly'!$D$4="","",VLOOKUP('Subcases Monthly'!$D$4,DataLookUp!$A$4:$AVY$70,1105,FALSE))</f>
        <v>0</v>
      </c>
      <c r="Q111" s="133">
        <f t="shared" ref="Q111:Q120" si="45">SUM(E111:P111)</f>
        <v>171</v>
      </c>
      <c r="R111" s="485">
        <f>IF('Subcases Monthly'!$D$4="","",VLOOKUP('Subcases Monthly'!$D$4,DataLookUp!$A$4:$AVY$70,1272,FALSE))</f>
        <v>0</v>
      </c>
    </row>
    <row r="112" spans="1:18" ht="20.100000000000001" customHeight="1" x14ac:dyDescent="0.2">
      <c r="B112" s="190"/>
      <c r="C112" s="461" t="s">
        <v>217</v>
      </c>
      <c r="D112" s="462"/>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v>1</v>
      </c>
      <c r="P112" s="129">
        <f>IF('Subcases Monthly'!$D$4="","",VLOOKUP('Subcases Monthly'!$D$4,DataLookUp!$A$4:$AVY$70,1118,FALSE))</f>
        <v>0</v>
      </c>
      <c r="Q112" s="134">
        <f t="shared" si="45"/>
        <v>2</v>
      </c>
      <c r="R112" s="486"/>
    </row>
    <row r="113" spans="2:18" ht="20.100000000000001" customHeight="1" x14ac:dyDescent="0.2">
      <c r="B113" s="190"/>
      <c r="C113" s="461" t="s">
        <v>218</v>
      </c>
      <c r="D113" s="462"/>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86"/>
    </row>
    <row r="114" spans="2:18" ht="20.100000000000001" customHeight="1" x14ac:dyDescent="0.2">
      <c r="B114" s="190"/>
      <c r="C114" s="461" t="s">
        <v>219</v>
      </c>
      <c r="D114" s="462"/>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86"/>
    </row>
    <row r="115" spans="2:18" ht="20.100000000000001" customHeight="1" x14ac:dyDescent="0.2">
      <c r="B115" s="190"/>
      <c r="C115" s="461" t="s">
        <v>220</v>
      </c>
      <c r="D115" s="462"/>
      <c r="E115" s="130">
        <v>3</v>
      </c>
      <c r="F115" s="131">
        <v>2</v>
      </c>
      <c r="G115" s="131">
        <v>1</v>
      </c>
      <c r="H115" s="131">
        <v>2</v>
      </c>
      <c r="I115" s="131">
        <v>11</v>
      </c>
      <c r="J115" s="131">
        <v>3</v>
      </c>
      <c r="K115" s="131">
        <v>6</v>
      </c>
      <c r="L115" s="131">
        <v>6</v>
      </c>
      <c r="M115" s="131">
        <f>IF('Subcases Monthly'!$D$4="","",VLOOKUP('Subcases Monthly'!$D$4,DataLookUp!$A$4:$AVY$70,1154,FALSE))</f>
        <v>0</v>
      </c>
      <c r="N115" s="131">
        <v>2</v>
      </c>
      <c r="O115" s="131">
        <f>IF('Subcases Monthly'!$D$4="","",VLOOKUP('Subcases Monthly'!$D$4,DataLookUp!$A$4:$AVY$70,1156,FALSE))</f>
        <v>0</v>
      </c>
      <c r="P115" s="132">
        <f>IF('Subcases Monthly'!$D$4="","",VLOOKUP('Subcases Monthly'!$D$4,DataLookUp!$A$4:$AVY$70,1157,FALSE))</f>
        <v>0</v>
      </c>
      <c r="Q115" s="134">
        <f t="shared" si="45"/>
        <v>36</v>
      </c>
      <c r="R115" s="486"/>
    </row>
    <row r="116" spans="2:18" ht="20.100000000000001" customHeight="1" x14ac:dyDescent="0.2">
      <c r="B116" s="190"/>
      <c r="C116" s="461" t="s">
        <v>164</v>
      </c>
      <c r="D116" s="462"/>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86"/>
    </row>
    <row r="117" spans="2:18" ht="20.100000000000001" customHeight="1" x14ac:dyDescent="0.2">
      <c r="B117" s="190"/>
      <c r="C117" s="461" t="s">
        <v>225</v>
      </c>
      <c r="D117" s="462"/>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v>1</v>
      </c>
      <c r="P117" s="132">
        <f>IF('Subcases Monthly'!$D$4="","",VLOOKUP('Subcases Monthly'!$D$4,DataLookUp!$A$4:$AVY$70,1183,FALSE))</f>
        <v>0</v>
      </c>
      <c r="Q117" s="144">
        <f t="shared" si="45"/>
        <v>1</v>
      </c>
      <c r="R117" s="486"/>
    </row>
    <row r="118" spans="2:18" ht="20.100000000000001" customHeight="1" x14ac:dyDescent="0.2">
      <c r="B118" s="190"/>
      <c r="C118" s="461" t="s">
        <v>221</v>
      </c>
      <c r="D118" s="462"/>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86"/>
    </row>
    <row r="119" spans="2:18" ht="20.100000000000001" customHeight="1" thickBot="1" x14ac:dyDescent="0.25">
      <c r="B119" s="199">
        <v>1</v>
      </c>
      <c r="C119" s="469" t="s">
        <v>157</v>
      </c>
      <c r="D119" s="470"/>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87"/>
    </row>
    <row r="120" spans="2:18" s="13" customFormat="1" ht="20.100000000000001" customHeight="1" thickTop="1" thickBot="1" x14ac:dyDescent="0.25">
      <c r="B120" s="192"/>
      <c r="C120" s="471" t="s">
        <v>396</v>
      </c>
      <c r="D120" s="472"/>
      <c r="E120" s="244">
        <f>SUM(E111:E119)</f>
        <v>18</v>
      </c>
      <c r="F120" s="245">
        <f t="shared" ref="F120:P120" si="46">SUM(F111:F119)</f>
        <v>20</v>
      </c>
      <c r="G120" s="245">
        <f t="shared" si="46"/>
        <v>22</v>
      </c>
      <c r="H120" s="245">
        <f t="shared" si="46"/>
        <v>12</v>
      </c>
      <c r="I120" s="245">
        <f t="shared" si="46"/>
        <v>22</v>
      </c>
      <c r="J120" s="245">
        <f t="shared" si="46"/>
        <v>22</v>
      </c>
      <c r="K120" s="245">
        <f t="shared" si="46"/>
        <v>20</v>
      </c>
      <c r="L120" s="245">
        <f t="shared" si="46"/>
        <v>18</v>
      </c>
      <c r="M120" s="245">
        <f t="shared" si="46"/>
        <v>13</v>
      </c>
      <c r="N120" s="245">
        <f t="shared" si="46"/>
        <v>26</v>
      </c>
      <c r="O120" s="245">
        <f t="shared" si="46"/>
        <v>18</v>
      </c>
      <c r="P120" s="246">
        <f t="shared" si="46"/>
        <v>0</v>
      </c>
      <c r="Q120" s="146">
        <f t="shared" si="45"/>
        <v>211</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67" t="s">
        <v>223</v>
      </c>
      <c r="D123" s="468"/>
      <c r="E123" s="147">
        <v>3260</v>
      </c>
      <c r="F123" s="148">
        <v>3692</v>
      </c>
      <c r="G123" s="148">
        <v>3766</v>
      </c>
      <c r="H123" s="148">
        <v>4884</v>
      </c>
      <c r="I123" s="148">
        <v>4357</v>
      </c>
      <c r="J123" s="148">
        <v>5219</v>
      </c>
      <c r="K123" s="148">
        <v>5017</v>
      </c>
      <c r="L123" s="148">
        <v>5766</v>
      </c>
      <c r="M123" s="148">
        <v>4832</v>
      </c>
      <c r="N123" s="148">
        <v>4740</v>
      </c>
      <c r="O123" s="148">
        <v>4559</v>
      </c>
      <c r="P123" s="149">
        <f>IF('Subcases Monthly'!$D$4="","",VLOOKUP('Subcases Monthly'!$D$4,DataLookUp!$A$4:$AVY$70,1235,FALSE))</f>
        <v>0</v>
      </c>
      <c r="Q123" s="133">
        <f t="shared" ref="Q123:Q124" si="48">SUM(E123:P123)</f>
        <v>50092</v>
      </c>
      <c r="R123" s="485">
        <f>IF('Subcases Monthly'!$D$4="","",VLOOKUP('Subcases Monthly'!$D$4,DataLookUp!$A$4:$AVY$70,1273,FALSE))</f>
        <v>0</v>
      </c>
    </row>
    <row r="124" spans="2:18" ht="20.100000000000001" customHeight="1" thickTop="1" thickBot="1" x14ac:dyDescent="0.25">
      <c r="B124" s="194"/>
      <c r="C124" s="465" t="s">
        <v>397</v>
      </c>
      <c r="D124" s="466"/>
      <c r="E124" s="244">
        <f>SUM(E123:E123)</f>
        <v>3260</v>
      </c>
      <c r="F124" s="245">
        <f t="shared" ref="F124:P124" si="49">SUM(F123:F123)</f>
        <v>3692</v>
      </c>
      <c r="G124" s="245">
        <f t="shared" si="49"/>
        <v>3766</v>
      </c>
      <c r="H124" s="245">
        <f t="shared" si="49"/>
        <v>4884</v>
      </c>
      <c r="I124" s="245">
        <f t="shared" si="49"/>
        <v>4357</v>
      </c>
      <c r="J124" s="245">
        <f t="shared" si="49"/>
        <v>5219</v>
      </c>
      <c r="K124" s="245">
        <f t="shared" si="49"/>
        <v>5017</v>
      </c>
      <c r="L124" s="245">
        <f t="shared" si="49"/>
        <v>5766</v>
      </c>
      <c r="M124" s="245">
        <f t="shared" si="49"/>
        <v>4832</v>
      </c>
      <c r="N124" s="245">
        <f t="shared" si="49"/>
        <v>4740</v>
      </c>
      <c r="O124" s="245">
        <f t="shared" si="49"/>
        <v>4559</v>
      </c>
      <c r="P124" s="246">
        <f t="shared" si="49"/>
        <v>0</v>
      </c>
      <c r="Q124" s="146">
        <f t="shared" si="48"/>
        <v>50092</v>
      </c>
      <c r="R124" s="486"/>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6"/>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6"/>
    </row>
    <row r="127" spans="2:18" s="9" customFormat="1" ht="14.25" thickBot="1" x14ac:dyDescent="0.25">
      <c r="B127" s="473" t="s">
        <v>378</v>
      </c>
      <c r="C127" s="473"/>
      <c r="Q127" s="450"/>
      <c r="R127" s="487"/>
    </row>
    <row r="128" spans="2:18" s="209" customFormat="1" ht="13.5" x14ac:dyDescent="0.2">
      <c r="B128" s="464" t="s">
        <v>407</v>
      </c>
      <c r="C128" s="464"/>
      <c r="D128" s="464"/>
      <c r="E128" s="464"/>
      <c r="F128" s="464"/>
      <c r="G128" s="464"/>
      <c r="H128" s="464"/>
      <c r="I128" s="464"/>
      <c r="J128" s="464"/>
      <c r="K128" s="464"/>
      <c r="L128" s="464"/>
      <c r="M128" s="464"/>
      <c r="N128" s="464"/>
      <c r="O128" s="464"/>
      <c r="P128" s="464"/>
      <c r="Q128" s="464"/>
    </row>
    <row r="129" spans="1:18" s="209" customFormat="1" ht="13.5" x14ac:dyDescent="0.2">
      <c r="B129" s="464"/>
      <c r="C129" s="464"/>
      <c r="D129" s="464"/>
      <c r="E129" s="464"/>
      <c r="F129" s="464"/>
      <c r="G129" s="464"/>
      <c r="H129" s="464"/>
      <c r="I129" s="464"/>
      <c r="J129" s="464"/>
      <c r="K129" s="464"/>
      <c r="L129" s="464"/>
      <c r="M129" s="464"/>
      <c r="N129" s="464"/>
      <c r="O129" s="464"/>
      <c r="P129" s="464"/>
      <c r="Q129" s="464"/>
    </row>
    <row r="130" spans="1:18" s="209" customFormat="1" ht="15" x14ac:dyDescent="0.2">
      <c r="A130" s="210"/>
      <c r="B130" s="463" t="s">
        <v>402</v>
      </c>
      <c r="C130" s="463"/>
      <c r="D130" s="463"/>
      <c r="E130" s="463"/>
      <c r="F130" s="463"/>
      <c r="G130" s="463"/>
      <c r="H130" s="463"/>
      <c r="I130" s="463"/>
      <c r="J130" s="463"/>
      <c r="K130" s="463"/>
      <c r="L130" s="463"/>
      <c r="M130" s="463"/>
      <c r="N130" s="463"/>
      <c r="O130" s="463"/>
      <c r="P130" s="463"/>
      <c r="Q130" s="463"/>
      <c r="R130" s="9"/>
    </row>
    <row r="131" spans="1:18" s="209" customFormat="1" ht="15" x14ac:dyDescent="0.2">
      <c r="A131" s="210"/>
      <c r="B131" s="463" t="s">
        <v>403</v>
      </c>
      <c r="C131" s="463"/>
      <c r="D131" s="463"/>
      <c r="E131" s="463"/>
      <c r="F131" s="463"/>
      <c r="G131" s="463"/>
      <c r="H131" s="463"/>
      <c r="I131" s="463"/>
      <c r="J131" s="463"/>
      <c r="K131" s="463"/>
      <c r="L131" s="463"/>
      <c r="M131" s="463"/>
      <c r="N131" s="463"/>
      <c r="O131" s="463"/>
      <c r="P131" s="463"/>
      <c r="Q131" s="463"/>
      <c r="R131" s="9"/>
    </row>
    <row r="132" spans="1:18" s="209" customFormat="1" ht="15" x14ac:dyDescent="0.2">
      <c r="A132" s="210"/>
      <c r="B132" s="463" t="s">
        <v>408</v>
      </c>
      <c r="C132" s="463"/>
      <c r="D132" s="463"/>
      <c r="E132" s="463"/>
      <c r="F132" s="463"/>
      <c r="G132" s="463"/>
      <c r="H132" s="463"/>
      <c r="I132" s="463"/>
      <c r="J132" s="463"/>
      <c r="K132" s="463"/>
      <c r="L132" s="463"/>
      <c r="M132" s="463"/>
      <c r="N132" s="463"/>
      <c r="O132" s="463"/>
      <c r="P132" s="463"/>
      <c r="Q132" s="463"/>
    </row>
    <row r="133" spans="1:18" s="9" customFormat="1" ht="13.5" x14ac:dyDescent="0.25">
      <c r="B133" s="483" t="s">
        <v>1907</v>
      </c>
      <c r="C133" s="483"/>
      <c r="D133" s="483"/>
      <c r="E133" s="483"/>
      <c r="F133" s="483"/>
      <c r="G133" s="483"/>
      <c r="H133" s="483"/>
      <c r="I133" s="483"/>
      <c r="J133" s="483"/>
      <c r="K133" s="483"/>
      <c r="L133" s="483"/>
      <c r="M133" s="483"/>
      <c r="N133" s="483"/>
      <c r="O133" s="483"/>
      <c r="P133" s="483"/>
      <c r="Q133" s="483"/>
    </row>
  </sheetData>
  <sheetProtection algorithmName="SHA-512" hashValue="RscaFN1rR7q0B/F9y0inUWlGnHnM5cIMdKvIO7djVQzyiBmZMES4k0fb8WuT5ip4RkoUYJ0Hev+reXkRQ4srig==" saltValue="OXb9xm+ZS/kJV6XnRuQ8Vg==" spinCount="100000" sheet="1" objects="1" scenarios="1" selectLockedCells="1"/>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3" t="s">
        <v>415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5"/>
      <c r="AP1" s="606" t="s">
        <v>416</v>
      </c>
      <c r="AQ1" s="607"/>
      <c r="AR1" s="607"/>
      <c r="AS1" s="607"/>
      <c r="AT1" s="607"/>
      <c r="AU1" s="607"/>
      <c r="AV1" s="607"/>
      <c r="AW1" s="607"/>
      <c r="AX1" s="607"/>
      <c r="AY1" s="607"/>
      <c r="AZ1" s="607"/>
      <c r="BA1" s="607"/>
      <c r="BB1" s="607"/>
      <c r="BC1" s="607"/>
      <c r="BD1" s="607"/>
      <c r="BE1" s="607"/>
      <c r="BF1" s="607"/>
      <c r="BG1" s="607"/>
      <c r="BH1" s="607"/>
      <c r="BI1" s="607"/>
      <c r="BJ1" s="607"/>
      <c r="BK1" s="607"/>
      <c r="BL1" s="607"/>
      <c r="BM1" s="607"/>
      <c r="BN1" s="607"/>
      <c r="BO1" s="607"/>
      <c r="BP1" s="607"/>
      <c r="BQ1" s="607"/>
      <c r="BR1" s="607"/>
      <c r="BS1" s="607"/>
      <c r="BT1" s="607"/>
      <c r="BU1" s="607"/>
      <c r="BV1" s="607"/>
      <c r="BW1" s="607"/>
      <c r="BX1" s="607"/>
      <c r="BY1" s="607"/>
      <c r="BZ1" s="607"/>
      <c r="CA1" s="607"/>
      <c r="CB1" s="607"/>
      <c r="CC1" s="607"/>
      <c r="CD1" s="607"/>
      <c r="CE1" s="607"/>
      <c r="CF1" s="607"/>
      <c r="CG1" s="607"/>
      <c r="CH1" s="607"/>
      <c r="CI1" s="607"/>
      <c r="CJ1" s="607"/>
      <c r="CK1" s="607"/>
      <c r="CL1" s="607"/>
      <c r="CM1" s="607"/>
      <c r="CN1" s="607"/>
      <c r="CO1" s="607"/>
      <c r="CP1" s="607"/>
      <c r="CQ1" s="607"/>
      <c r="CR1" s="607"/>
      <c r="CS1" s="607"/>
      <c r="CT1" s="607"/>
      <c r="CU1" s="607"/>
      <c r="CV1" s="607"/>
      <c r="CW1" s="607"/>
      <c r="CX1" s="607"/>
      <c r="CY1" s="607"/>
      <c r="CZ1" s="607"/>
      <c r="DA1" s="607"/>
      <c r="DB1" s="607"/>
      <c r="DC1" s="607"/>
      <c r="DD1" s="607"/>
      <c r="DE1" s="607"/>
      <c r="DF1" s="607"/>
      <c r="DG1" s="607"/>
      <c r="DH1" s="607"/>
      <c r="DI1" s="607"/>
      <c r="DJ1" s="607"/>
      <c r="DK1" s="607"/>
      <c r="DL1" s="607"/>
      <c r="DM1" s="607"/>
      <c r="DN1" s="607"/>
      <c r="DO1" s="607"/>
      <c r="DP1" s="607"/>
      <c r="DQ1" s="608"/>
      <c r="DR1" s="264" t="s">
        <v>417</v>
      </c>
      <c r="DS1" s="265"/>
      <c r="DT1" s="609"/>
      <c r="DU1" s="610"/>
      <c r="DV1" s="610"/>
    </row>
    <row r="2" spans="1:126" ht="16.5" thickTop="1" x14ac:dyDescent="0.3">
      <c r="A2" s="611" t="s">
        <v>418</v>
      </c>
      <c r="B2" s="612" t="s">
        <v>419</v>
      </c>
      <c r="C2" s="612"/>
      <c r="D2" s="612"/>
      <c r="E2" s="613"/>
      <c r="F2" s="612" t="s">
        <v>420</v>
      </c>
      <c r="G2" s="612"/>
      <c r="H2" s="612"/>
      <c r="I2" s="613"/>
      <c r="J2" s="612" t="s">
        <v>421</v>
      </c>
      <c r="K2" s="612"/>
      <c r="L2" s="612"/>
      <c r="M2" s="613"/>
      <c r="N2" s="612" t="s">
        <v>137</v>
      </c>
      <c r="O2" s="612"/>
      <c r="P2" s="612"/>
      <c r="Q2" s="613"/>
      <c r="R2" s="614" t="s">
        <v>422</v>
      </c>
      <c r="S2" s="614"/>
      <c r="T2" s="614"/>
      <c r="U2" s="615"/>
      <c r="V2" s="614" t="s">
        <v>423</v>
      </c>
      <c r="W2" s="614"/>
      <c r="X2" s="614"/>
      <c r="Y2" s="615"/>
      <c r="Z2" s="616" t="s">
        <v>424</v>
      </c>
      <c r="AA2" s="617"/>
      <c r="AB2" s="617"/>
      <c r="AC2" s="618"/>
      <c r="AD2" s="616" t="s">
        <v>425</v>
      </c>
      <c r="AE2" s="617"/>
      <c r="AF2" s="617"/>
      <c r="AG2" s="618"/>
      <c r="AH2" s="619" t="s">
        <v>426</v>
      </c>
      <c r="AI2" s="620"/>
      <c r="AJ2" s="620"/>
      <c r="AK2" s="621"/>
      <c r="AL2" s="614" t="s">
        <v>138</v>
      </c>
      <c r="AM2" s="614"/>
      <c r="AN2" s="614"/>
      <c r="AO2" s="615"/>
      <c r="AP2" s="622" t="s">
        <v>419</v>
      </c>
      <c r="AQ2" s="623"/>
      <c r="AR2" s="623"/>
      <c r="AS2" s="623"/>
      <c r="AT2" s="623"/>
      <c r="AU2" s="623"/>
      <c r="AV2" s="623"/>
      <c r="AW2" s="624"/>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625" t="s">
        <v>422</v>
      </c>
      <c r="BW2" s="626"/>
      <c r="BX2" s="626"/>
      <c r="BY2" s="626"/>
      <c r="BZ2" s="626"/>
      <c r="CA2" s="626"/>
      <c r="CB2" s="626"/>
      <c r="CC2" s="626"/>
      <c r="CD2" s="625" t="s">
        <v>423</v>
      </c>
      <c r="CE2" s="626"/>
      <c r="CF2" s="626"/>
      <c r="CG2" s="626"/>
      <c r="CH2" s="626"/>
      <c r="CI2" s="626"/>
      <c r="CJ2" s="626"/>
      <c r="CK2" s="626"/>
      <c r="CL2" s="266" t="s">
        <v>427</v>
      </c>
      <c r="CM2" s="267"/>
      <c r="CN2" s="267"/>
      <c r="CO2" s="267"/>
      <c r="CP2" s="267"/>
      <c r="CQ2" s="267"/>
      <c r="CR2" s="267"/>
      <c r="CS2" s="267"/>
      <c r="CT2" s="627" t="s">
        <v>425</v>
      </c>
      <c r="CU2" s="628"/>
      <c r="CV2" s="628"/>
      <c r="CW2" s="628"/>
      <c r="CX2" s="628"/>
      <c r="CY2" s="628"/>
      <c r="CZ2" s="628"/>
      <c r="DA2" s="629"/>
      <c r="DB2" s="625" t="s">
        <v>428</v>
      </c>
      <c r="DC2" s="626"/>
      <c r="DD2" s="626"/>
      <c r="DE2" s="626"/>
      <c r="DF2" s="626"/>
      <c r="DG2" s="626"/>
      <c r="DH2" s="626"/>
      <c r="DI2" s="630"/>
      <c r="DJ2" s="625" t="s">
        <v>138</v>
      </c>
      <c r="DK2" s="626"/>
      <c r="DL2" s="626"/>
      <c r="DM2" s="626"/>
      <c r="DN2" s="626"/>
      <c r="DO2" s="626"/>
      <c r="DP2" s="626"/>
      <c r="DQ2" s="626"/>
      <c r="DR2" s="268" t="s">
        <v>429</v>
      </c>
      <c r="DT2" s="269" t="s">
        <v>430</v>
      </c>
    </row>
    <row r="3" spans="1:126" ht="48" thickBot="1" x14ac:dyDescent="0.35">
      <c r="A3" s="611"/>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O7" sqref="O7:Q7"/>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6" t="s">
        <v>304</v>
      </c>
      <c r="B1" s="476"/>
      <c r="C1" s="476"/>
      <c r="D1" s="476"/>
      <c r="E1" s="476"/>
      <c r="F1" s="476"/>
    </row>
    <row r="2" spans="1:17" ht="24" customHeight="1" x14ac:dyDescent="0.2">
      <c r="A2" s="476" t="str">
        <f>'Subcases Monthly'!A2</f>
        <v>County Fiscal Year 2024-2025</v>
      </c>
      <c r="B2" s="476"/>
      <c r="C2" s="476"/>
      <c r="D2" s="476"/>
    </row>
    <row r="3" spans="1:17" ht="24" customHeight="1" x14ac:dyDescent="0.2">
      <c r="N3"/>
      <c r="O3"/>
    </row>
    <row r="4" spans="1:17" ht="21" customHeight="1" x14ac:dyDescent="0.2">
      <c r="A4" s="6"/>
      <c r="C4" s="21" t="s">
        <v>2</v>
      </c>
      <c r="D4" s="499" t="str">
        <f>IF('Subcases Monthly'!D4="","",'Subcases Monthly'!D4)</f>
        <v>Brevard</v>
      </c>
      <c r="E4" s="499"/>
      <c r="F4" s="6"/>
      <c r="G4" s="21" t="s">
        <v>226</v>
      </c>
      <c r="H4" s="499" t="str">
        <f>IF('Subcases Monthly'!H4="","",'Subcases Monthly'!H4)</f>
        <v>August</v>
      </c>
      <c r="I4" s="499"/>
      <c r="K4" s="21" t="s">
        <v>3</v>
      </c>
      <c r="L4" s="91">
        <f>IF('Subcases Monthly'!L4="","",'Subcases Monthly'!L4)</f>
        <v>1</v>
      </c>
      <c r="N4"/>
      <c r="O4" s="484" t="str">
        <f>'Subcases Monthly'!Q4</f>
        <v>CCOC Form Version 1
Created: 11/11/2024</v>
      </c>
      <c r="P4" s="484"/>
      <c r="Q4" s="484"/>
    </row>
    <row r="5" spans="1:17" ht="21" customHeight="1" thickBot="1" x14ac:dyDescent="0.35">
      <c r="A5" s="6"/>
      <c r="C5" s="21" t="s">
        <v>73</v>
      </c>
      <c r="D5" s="500" t="str">
        <f>IF('Subcases Monthly'!D5="","",'Subcases Monthly'!D5)</f>
        <v xml:space="preserve">Carol Vail </v>
      </c>
      <c r="E5" s="500"/>
      <c r="F5" s="6"/>
      <c r="N5" s="7"/>
      <c r="O5" s="496"/>
      <c r="P5" s="496"/>
      <c r="Q5" s="496"/>
    </row>
    <row r="6" spans="1:17" ht="26.25" customHeight="1" thickBot="1" x14ac:dyDescent="0.25">
      <c r="A6" s="6"/>
      <c r="C6" s="21" t="s">
        <v>84</v>
      </c>
      <c r="D6" s="499" t="str">
        <f>IF('Subcases Monthly'!D6="","",'Subcases Monthly'!D6)</f>
        <v>carol.vail@brevardclerk.us</v>
      </c>
      <c r="E6" s="499"/>
      <c r="F6" s="6"/>
      <c r="K6"/>
      <c r="L6"/>
      <c r="M6"/>
      <c r="N6"/>
      <c r="O6" s="504" t="str">
        <f>"Total Number of Financial Receipts
for the CFY "&amp;RIGHT(A2,9)&amp;":"</f>
        <v>Total Number of Financial Receipts
for the CFY 2024-2025:</v>
      </c>
      <c r="P6" s="505"/>
      <c r="Q6" s="506"/>
    </row>
    <row r="7" spans="1:17" ht="27" customHeight="1" thickBot="1" x14ac:dyDescent="0.25">
      <c r="A7" s="6"/>
      <c r="J7" s="507"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7"/>
      <c r="L7" s="507"/>
      <c r="M7" s="507"/>
      <c r="N7" s="508"/>
      <c r="O7" s="501">
        <f>IF('Subcases Monthly'!$D$4="","",VLOOKUP('Subcases Monthly'!$D$4,'Timeliness Performance'!$A$4:$DR$70,122,FALSE))</f>
        <v>0</v>
      </c>
      <c r="P7" s="502"/>
      <c r="Q7" s="503"/>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5" t="s">
        <v>132</v>
      </c>
      <c r="C10" s="474"/>
      <c r="D10" s="474"/>
      <c r="E10" s="150">
        <f>'Subcases Monthly'!E15</f>
        <v>525</v>
      </c>
      <c r="F10" s="151">
        <f>'Subcases Monthly'!F15</f>
        <v>549</v>
      </c>
      <c r="G10" s="151">
        <f>'Subcases Monthly'!G15</f>
        <v>503</v>
      </c>
      <c r="H10" s="151">
        <f>'Subcases Monthly'!H15</f>
        <v>550</v>
      </c>
      <c r="I10" s="151">
        <f>'Subcases Monthly'!I15</f>
        <v>501</v>
      </c>
      <c r="J10" s="151">
        <f>'Subcases Monthly'!J15</f>
        <v>550</v>
      </c>
      <c r="K10" s="151">
        <f>'Subcases Monthly'!K15</f>
        <v>575</v>
      </c>
      <c r="L10" s="151">
        <f>'Subcases Monthly'!L15</f>
        <v>591</v>
      </c>
      <c r="M10" s="151">
        <f>'Subcases Monthly'!M15</f>
        <v>553</v>
      </c>
      <c r="N10" s="151">
        <f>'Subcases Monthly'!N15</f>
        <v>642</v>
      </c>
      <c r="O10" s="151">
        <f>'Subcases Monthly'!O15</f>
        <v>605</v>
      </c>
      <c r="P10" s="152">
        <f>'Subcases Monthly'!P15</f>
        <v>0</v>
      </c>
      <c r="Q10" s="153">
        <f>SUM(E10:P10)</f>
        <v>6144</v>
      </c>
    </row>
    <row r="11" spans="1:17" ht="19.5" customHeight="1" x14ac:dyDescent="0.2">
      <c r="B11" s="494" t="s">
        <v>133</v>
      </c>
      <c r="C11" s="461"/>
      <c r="D11" s="461"/>
      <c r="E11" s="154">
        <f>'Subcases Monthly'!E23</f>
        <v>485</v>
      </c>
      <c r="F11" s="155">
        <f>'Subcases Monthly'!F23</f>
        <v>566</v>
      </c>
      <c r="G11" s="155">
        <f>'Subcases Monthly'!G23</f>
        <v>585</v>
      </c>
      <c r="H11" s="155">
        <f>'Subcases Monthly'!H23</f>
        <v>508</v>
      </c>
      <c r="I11" s="155">
        <f>'Subcases Monthly'!I23</f>
        <v>559</v>
      </c>
      <c r="J11" s="155">
        <f>'Subcases Monthly'!J23</f>
        <v>637</v>
      </c>
      <c r="K11" s="155">
        <f>'Subcases Monthly'!K23</f>
        <v>577</v>
      </c>
      <c r="L11" s="155">
        <f>'Subcases Monthly'!L23</f>
        <v>751</v>
      </c>
      <c r="M11" s="155">
        <f>'Subcases Monthly'!M23</f>
        <v>717</v>
      </c>
      <c r="N11" s="155">
        <f>'Subcases Monthly'!N23</f>
        <v>664</v>
      </c>
      <c r="O11" s="155">
        <f>'Subcases Monthly'!O23</f>
        <v>710</v>
      </c>
      <c r="P11" s="156">
        <f>'Subcases Monthly'!P23</f>
        <v>0</v>
      </c>
      <c r="Q11" s="157">
        <f t="shared" ref="Q11:Q19" si="1">SUM(E11:P11)</f>
        <v>6759</v>
      </c>
    </row>
    <row r="12" spans="1:17" ht="19.5" customHeight="1" x14ac:dyDescent="0.2">
      <c r="B12" s="494" t="s">
        <v>140</v>
      </c>
      <c r="C12" s="461"/>
      <c r="D12" s="461"/>
      <c r="E12" s="154">
        <f>'Subcases Monthly'!E30</f>
        <v>97</v>
      </c>
      <c r="F12" s="155">
        <f>'Subcases Monthly'!F30</f>
        <v>95</v>
      </c>
      <c r="G12" s="155">
        <f>'Subcases Monthly'!G30</f>
        <v>79</v>
      </c>
      <c r="H12" s="155">
        <f>'Subcases Monthly'!H30</f>
        <v>71</v>
      </c>
      <c r="I12" s="155">
        <f>'Subcases Monthly'!I30</f>
        <v>87</v>
      </c>
      <c r="J12" s="155">
        <f>'Subcases Monthly'!J30</f>
        <v>62</v>
      </c>
      <c r="K12" s="155">
        <f>'Subcases Monthly'!K30</f>
        <v>92</v>
      </c>
      <c r="L12" s="155">
        <f>'Subcases Monthly'!L30</f>
        <v>89</v>
      </c>
      <c r="M12" s="155">
        <f>'Subcases Monthly'!M30</f>
        <v>67</v>
      </c>
      <c r="N12" s="155">
        <f>'Subcases Monthly'!N30</f>
        <v>78</v>
      </c>
      <c r="O12" s="155">
        <f>'Subcases Monthly'!O30</f>
        <v>86</v>
      </c>
      <c r="P12" s="156">
        <f>'Subcases Monthly'!P30</f>
        <v>0</v>
      </c>
      <c r="Q12" s="157">
        <f t="shared" si="1"/>
        <v>903</v>
      </c>
    </row>
    <row r="13" spans="1:17" ht="19.5" customHeight="1" x14ac:dyDescent="0.2">
      <c r="B13" s="494" t="s">
        <v>137</v>
      </c>
      <c r="C13" s="461"/>
      <c r="D13" s="461"/>
      <c r="E13" s="154">
        <f>'Subcases Monthly'!E36</f>
        <v>711</v>
      </c>
      <c r="F13" s="155">
        <f>'Subcases Monthly'!F36</f>
        <v>709</v>
      </c>
      <c r="G13" s="155">
        <f>'Subcases Monthly'!G36</f>
        <v>734</v>
      </c>
      <c r="H13" s="155">
        <f>'Subcases Monthly'!H36</f>
        <v>830</v>
      </c>
      <c r="I13" s="155">
        <f>'Subcases Monthly'!I36</f>
        <v>670</v>
      </c>
      <c r="J13" s="155">
        <f>'Subcases Monthly'!J36</f>
        <v>896</v>
      </c>
      <c r="K13" s="155">
        <f>'Subcases Monthly'!K36</f>
        <v>926</v>
      </c>
      <c r="L13" s="155">
        <f>'Subcases Monthly'!L36</f>
        <v>900</v>
      </c>
      <c r="M13" s="155">
        <f>'Subcases Monthly'!M36</f>
        <v>798</v>
      </c>
      <c r="N13" s="155">
        <f>'Subcases Monthly'!N36</f>
        <v>894</v>
      </c>
      <c r="O13" s="155">
        <f>'Subcases Monthly'!O36</f>
        <v>921</v>
      </c>
      <c r="P13" s="156">
        <f>'Subcases Monthly'!P36</f>
        <v>0</v>
      </c>
      <c r="Q13" s="157">
        <f t="shared" si="1"/>
        <v>8989</v>
      </c>
    </row>
    <row r="14" spans="1:17" ht="19.5" customHeight="1" x14ac:dyDescent="0.2">
      <c r="B14" s="494" t="s">
        <v>134</v>
      </c>
      <c r="C14" s="461"/>
      <c r="D14" s="461"/>
      <c r="E14" s="154">
        <f>'Subcases Monthly'!E60</f>
        <v>307</v>
      </c>
      <c r="F14" s="155">
        <f>'Subcases Monthly'!F60</f>
        <v>242</v>
      </c>
      <c r="G14" s="155">
        <f>'Subcases Monthly'!G60</f>
        <v>284</v>
      </c>
      <c r="H14" s="155">
        <f>'Subcases Monthly'!H60</f>
        <v>262</v>
      </c>
      <c r="I14" s="155">
        <f>'Subcases Monthly'!I60</f>
        <v>280</v>
      </c>
      <c r="J14" s="155">
        <f>'Subcases Monthly'!J60</f>
        <v>379</v>
      </c>
      <c r="K14" s="155">
        <f>'Subcases Monthly'!K60</f>
        <v>347</v>
      </c>
      <c r="L14" s="155">
        <f>'Subcases Monthly'!L60</f>
        <v>368</v>
      </c>
      <c r="M14" s="155">
        <f>'Subcases Monthly'!M60</f>
        <v>338</v>
      </c>
      <c r="N14" s="155">
        <f>'Subcases Monthly'!N60</f>
        <v>359</v>
      </c>
      <c r="O14" s="155">
        <f>'Subcases Monthly'!O60</f>
        <v>335</v>
      </c>
      <c r="P14" s="156">
        <f>'Subcases Monthly'!P60</f>
        <v>0</v>
      </c>
      <c r="Q14" s="157">
        <f t="shared" si="1"/>
        <v>3501</v>
      </c>
    </row>
    <row r="15" spans="1:17" ht="19.5" customHeight="1" x14ac:dyDescent="0.2">
      <c r="B15" s="494" t="s">
        <v>135</v>
      </c>
      <c r="C15" s="461"/>
      <c r="D15" s="461"/>
      <c r="E15" s="154">
        <f>'Subcases Monthly'!E74</f>
        <v>1183</v>
      </c>
      <c r="F15" s="155">
        <f>'Subcases Monthly'!F74</f>
        <v>1188</v>
      </c>
      <c r="G15" s="155">
        <f>'Subcases Monthly'!G74</f>
        <v>1173</v>
      </c>
      <c r="H15" s="155">
        <f>'Subcases Monthly'!H74</f>
        <v>1323</v>
      </c>
      <c r="I15" s="155">
        <f>'Subcases Monthly'!I74</f>
        <v>952</v>
      </c>
      <c r="J15" s="155">
        <f>'Subcases Monthly'!J74</f>
        <v>1231</v>
      </c>
      <c r="K15" s="155">
        <f>'Subcases Monthly'!K74</f>
        <v>1395</v>
      </c>
      <c r="L15" s="155">
        <f>'Subcases Monthly'!L74</f>
        <v>1390</v>
      </c>
      <c r="M15" s="155">
        <f>'Subcases Monthly'!M74</f>
        <v>1342</v>
      </c>
      <c r="N15" s="155">
        <f>'Subcases Monthly'!N74</f>
        <v>1506</v>
      </c>
      <c r="O15" s="155">
        <f>'Subcases Monthly'!O74</f>
        <v>1541</v>
      </c>
      <c r="P15" s="156">
        <f>'Subcases Monthly'!P74</f>
        <v>0</v>
      </c>
      <c r="Q15" s="157">
        <f t="shared" si="1"/>
        <v>14224</v>
      </c>
    </row>
    <row r="16" spans="1:17" ht="19.5" customHeight="1" x14ac:dyDescent="0.2">
      <c r="B16" s="494" t="s">
        <v>136</v>
      </c>
      <c r="C16" s="461"/>
      <c r="D16" s="461"/>
      <c r="E16" s="154">
        <f>'Subcases Monthly'!E94</f>
        <v>605</v>
      </c>
      <c r="F16" s="155">
        <f>'Subcases Monthly'!F94</f>
        <v>591</v>
      </c>
      <c r="G16" s="155">
        <f>'Subcases Monthly'!G94</f>
        <v>560</v>
      </c>
      <c r="H16" s="155">
        <f>'Subcases Monthly'!H94</f>
        <v>639</v>
      </c>
      <c r="I16" s="155">
        <f>'Subcases Monthly'!I94</f>
        <v>630</v>
      </c>
      <c r="J16" s="155">
        <f>'Subcases Monthly'!J94</f>
        <v>635</v>
      </c>
      <c r="K16" s="155">
        <f>'Subcases Monthly'!K94</f>
        <v>699</v>
      </c>
      <c r="L16" s="155">
        <f>'Subcases Monthly'!L94</f>
        <v>682</v>
      </c>
      <c r="M16" s="155">
        <f>'Subcases Monthly'!M94</f>
        <v>622</v>
      </c>
      <c r="N16" s="155">
        <f>'Subcases Monthly'!N94</f>
        <v>640</v>
      </c>
      <c r="O16" s="155">
        <f>'Subcases Monthly'!O94</f>
        <v>652</v>
      </c>
      <c r="P16" s="156">
        <f>'Subcases Monthly'!P94</f>
        <v>0</v>
      </c>
      <c r="Q16" s="157">
        <f t="shared" si="1"/>
        <v>6955</v>
      </c>
    </row>
    <row r="17" spans="1:17" ht="19.5" customHeight="1" x14ac:dyDescent="0.2">
      <c r="B17" s="494" t="s">
        <v>229</v>
      </c>
      <c r="C17" s="461"/>
      <c r="D17" s="461"/>
      <c r="E17" s="154">
        <f>'Subcases Monthly'!E108</f>
        <v>458</v>
      </c>
      <c r="F17" s="155">
        <f>'Subcases Monthly'!F108</f>
        <v>410</v>
      </c>
      <c r="G17" s="155">
        <f>'Subcases Monthly'!G108</f>
        <v>415</v>
      </c>
      <c r="H17" s="155">
        <f>'Subcases Monthly'!H108</f>
        <v>484</v>
      </c>
      <c r="I17" s="155">
        <f>'Subcases Monthly'!I108</f>
        <v>434</v>
      </c>
      <c r="J17" s="155">
        <f>'Subcases Monthly'!J108</f>
        <v>490</v>
      </c>
      <c r="K17" s="155">
        <f>'Subcases Monthly'!K108</f>
        <v>497</v>
      </c>
      <c r="L17" s="155">
        <f>'Subcases Monthly'!L108</f>
        <v>449</v>
      </c>
      <c r="M17" s="155">
        <f>'Subcases Monthly'!M108</f>
        <v>494</v>
      </c>
      <c r="N17" s="155">
        <f>'Subcases Monthly'!N108</f>
        <v>519</v>
      </c>
      <c r="O17" s="155">
        <f>'Subcases Monthly'!O108</f>
        <v>471</v>
      </c>
      <c r="P17" s="156">
        <f>'Subcases Monthly'!P108</f>
        <v>0</v>
      </c>
      <c r="Q17" s="157">
        <f t="shared" si="1"/>
        <v>5121</v>
      </c>
    </row>
    <row r="18" spans="1:17" ht="19.5" customHeight="1" x14ac:dyDescent="0.2">
      <c r="B18" s="494" t="s">
        <v>139</v>
      </c>
      <c r="C18" s="461"/>
      <c r="D18" s="461"/>
      <c r="E18" s="154">
        <f>'Subcases Monthly'!E120</f>
        <v>18</v>
      </c>
      <c r="F18" s="155">
        <f>'Subcases Monthly'!F120</f>
        <v>20</v>
      </c>
      <c r="G18" s="155">
        <f>'Subcases Monthly'!G120</f>
        <v>22</v>
      </c>
      <c r="H18" s="155">
        <f>'Subcases Monthly'!H120</f>
        <v>12</v>
      </c>
      <c r="I18" s="155">
        <f>'Subcases Monthly'!I120</f>
        <v>22</v>
      </c>
      <c r="J18" s="155">
        <f>'Subcases Monthly'!J120</f>
        <v>22</v>
      </c>
      <c r="K18" s="155">
        <f>'Subcases Monthly'!K120</f>
        <v>20</v>
      </c>
      <c r="L18" s="155">
        <f>'Subcases Monthly'!L120</f>
        <v>18</v>
      </c>
      <c r="M18" s="155">
        <f>'Subcases Monthly'!M120</f>
        <v>13</v>
      </c>
      <c r="N18" s="155">
        <f>'Subcases Monthly'!N120</f>
        <v>26</v>
      </c>
      <c r="O18" s="155">
        <f>'Subcases Monthly'!O120</f>
        <v>18</v>
      </c>
      <c r="P18" s="156">
        <f>'Subcases Monthly'!P120</f>
        <v>0</v>
      </c>
      <c r="Q18" s="157">
        <f t="shared" si="1"/>
        <v>211</v>
      </c>
    </row>
    <row r="19" spans="1:17" ht="19.5" customHeight="1" thickBot="1" x14ac:dyDescent="0.25">
      <c r="B19" s="497" t="s">
        <v>138</v>
      </c>
      <c r="C19" s="469"/>
      <c r="D19" s="469"/>
      <c r="E19" s="158">
        <f>'Subcases Monthly'!E124</f>
        <v>3260</v>
      </c>
      <c r="F19" s="159">
        <f>'Subcases Monthly'!F124</f>
        <v>3692</v>
      </c>
      <c r="G19" s="159">
        <f>'Subcases Monthly'!G124</f>
        <v>3766</v>
      </c>
      <c r="H19" s="159">
        <f>'Subcases Monthly'!H124</f>
        <v>4884</v>
      </c>
      <c r="I19" s="159">
        <f>'Subcases Monthly'!I124</f>
        <v>4357</v>
      </c>
      <c r="J19" s="159">
        <f>'Subcases Monthly'!J124</f>
        <v>5219</v>
      </c>
      <c r="K19" s="159">
        <f>'Subcases Monthly'!K124</f>
        <v>5017</v>
      </c>
      <c r="L19" s="159">
        <f>'Subcases Monthly'!L124</f>
        <v>5766</v>
      </c>
      <c r="M19" s="159">
        <f>'Subcases Monthly'!M124</f>
        <v>4832</v>
      </c>
      <c r="N19" s="159">
        <f>'Subcases Monthly'!N124</f>
        <v>4740</v>
      </c>
      <c r="O19" s="159">
        <f>'Subcases Monthly'!O124</f>
        <v>4559</v>
      </c>
      <c r="P19" s="160">
        <f>'Subcases Monthly'!P124</f>
        <v>0</v>
      </c>
      <c r="Q19" s="161">
        <f t="shared" si="1"/>
        <v>50092</v>
      </c>
    </row>
    <row r="20" spans="1:17" s="13" customFormat="1" ht="19.5" customHeight="1" thickTop="1" thickBot="1" x14ac:dyDescent="0.25">
      <c r="B20" s="498" t="s">
        <v>380</v>
      </c>
      <c r="C20" s="471"/>
      <c r="D20" s="472"/>
      <c r="E20" s="211">
        <f t="shared" ref="E20:P20" si="2">SUM(E10:E19)</f>
        <v>7649</v>
      </c>
      <c r="F20" s="212">
        <f t="shared" si="2"/>
        <v>8062</v>
      </c>
      <c r="G20" s="212">
        <f t="shared" si="2"/>
        <v>8121</v>
      </c>
      <c r="H20" s="212">
        <f t="shared" si="2"/>
        <v>9563</v>
      </c>
      <c r="I20" s="212">
        <f t="shared" si="2"/>
        <v>8492</v>
      </c>
      <c r="J20" s="212">
        <f t="shared" si="2"/>
        <v>10121</v>
      </c>
      <c r="K20" s="212">
        <f t="shared" si="2"/>
        <v>10145</v>
      </c>
      <c r="L20" s="212">
        <f t="shared" si="2"/>
        <v>11004</v>
      </c>
      <c r="M20" s="212">
        <f t="shared" si="2"/>
        <v>9776</v>
      </c>
      <c r="N20" s="212">
        <f t="shared" si="2"/>
        <v>10068</v>
      </c>
      <c r="O20" s="212">
        <f t="shared" si="2"/>
        <v>9898</v>
      </c>
      <c r="P20" s="261">
        <f t="shared" si="2"/>
        <v>0</v>
      </c>
      <c r="Q20" s="262">
        <f t="shared" ref="Q20" si="3">SUM(E20:P20)</f>
        <v>102899</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5" t="s">
        <v>132</v>
      </c>
      <c r="C23" s="474"/>
      <c r="D23" s="474"/>
      <c r="E23" s="252">
        <v>961</v>
      </c>
      <c r="F23" s="173">
        <v>761</v>
      </c>
      <c r="G23" s="173">
        <v>883</v>
      </c>
      <c r="H23" s="173">
        <v>905</v>
      </c>
      <c r="I23" s="173">
        <v>777</v>
      </c>
      <c r="J23" s="173">
        <v>931</v>
      </c>
      <c r="K23" s="173">
        <v>980</v>
      </c>
      <c r="L23" s="173">
        <v>846</v>
      </c>
      <c r="M23" s="173">
        <v>841</v>
      </c>
      <c r="N23" s="173">
        <v>758</v>
      </c>
      <c r="O23" s="173">
        <v>876</v>
      </c>
      <c r="P23" s="253">
        <f>IF('Subcases Monthly'!$D$4="","",VLOOKUP('Subcases Monthly'!$D$4,'ReOpens by Court Division'!$A$4:$EJ$70,13,FALSE))</f>
        <v>0</v>
      </c>
      <c r="Q23" s="153">
        <f>SUM(E23:P23)</f>
        <v>9519</v>
      </c>
    </row>
    <row r="24" spans="1:17" ht="19.5" customHeight="1" x14ac:dyDescent="0.2">
      <c r="B24" s="494" t="s">
        <v>133</v>
      </c>
      <c r="C24" s="461"/>
      <c r="D24" s="461"/>
      <c r="E24" s="141">
        <v>90</v>
      </c>
      <c r="F24" s="142">
        <v>83</v>
      </c>
      <c r="G24" s="142">
        <v>89</v>
      </c>
      <c r="H24" s="142">
        <v>111</v>
      </c>
      <c r="I24" s="142">
        <v>93</v>
      </c>
      <c r="J24" s="142">
        <v>101</v>
      </c>
      <c r="K24" s="142">
        <v>101</v>
      </c>
      <c r="L24" s="142">
        <v>126</v>
      </c>
      <c r="M24" s="142">
        <v>101</v>
      </c>
      <c r="N24" s="142">
        <v>98</v>
      </c>
      <c r="O24" s="142">
        <v>113</v>
      </c>
      <c r="P24" s="254">
        <f>IF('Subcases Monthly'!$D$4="","",VLOOKUP('Subcases Monthly'!$D$4,'ReOpens by Court Division'!$A$4:$EJ$70,27,FALSE))</f>
        <v>0</v>
      </c>
      <c r="Q24" s="157">
        <f t="shared" ref="Q24:Q33" si="5">SUM(E24:P24)</f>
        <v>1106</v>
      </c>
    </row>
    <row r="25" spans="1:17" ht="19.5" customHeight="1" x14ac:dyDescent="0.2">
      <c r="B25" s="494" t="s">
        <v>140</v>
      </c>
      <c r="C25" s="461"/>
      <c r="D25" s="461"/>
      <c r="E25" s="255">
        <v>118</v>
      </c>
      <c r="F25" s="256">
        <v>90</v>
      </c>
      <c r="G25" s="256">
        <v>90</v>
      </c>
      <c r="H25" s="256">
        <v>116</v>
      </c>
      <c r="I25" s="256">
        <v>124</v>
      </c>
      <c r="J25" s="256">
        <v>128</v>
      </c>
      <c r="K25" s="256">
        <v>138</v>
      </c>
      <c r="L25" s="256">
        <v>165</v>
      </c>
      <c r="M25" s="256">
        <v>124</v>
      </c>
      <c r="N25" s="256">
        <v>95</v>
      </c>
      <c r="O25" s="256">
        <v>110</v>
      </c>
      <c r="P25" s="257">
        <f>IF('Subcases Monthly'!$D$4="","",VLOOKUP('Subcases Monthly'!$D$4,'ReOpens by Court Division'!$A$4:$EJ$70,41,FALSE))</f>
        <v>0</v>
      </c>
      <c r="Q25" s="157">
        <f t="shared" si="5"/>
        <v>1298</v>
      </c>
    </row>
    <row r="26" spans="1:17" ht="19.5" customHeight="1" x14ac:dyDescent="0.2">
      <c r="B26" s="494" t="s">
        <v>137</v>
      </c>
      <c r="C26" s="461"/>
      <c r="D26" s="461"/>
      <c r="E26" s="141">
        <v>194</v>
      </c>
      <c r="F26" s="142">
        <v>133</v>
      </c>
      <c r="G26" s="142">
        <v>97</v>
      </c>
      <c r="H26" s="142">
        <v>196</v>
      </c>
      <c r="I26" s="142">
        <v>100</v>
      </c>
      <c r="J26" s="142">
        <v>170</v>
      </c>
      <c r="K26" s="142">
        <v>183</v>
      </c>
      <c r="L26" s="142">
        <v>137</v>
      </c>
      <c r="M26" s="142">
        <v>157</v>
      </c>
      <c r="N26" s="142">
        <v>173</v>
      </c>
      <c r="O26" s="142">
        <v>114</v>
      </c>
      <c r="P26" s="254">
        <f>IF('Subcases Monthly'!$D$4="","",VLOOKUP('Subcases Monthly'!$D$4,'ReOpens by Court Division'!$A$4:$EJ$70,55,FALSE))</f>
        <v>0</v>
      </c>
      <c r="Q26" s="157">
        <f t="shared" si="5"/>
        <v>1654</v>
      </c>
    </row>
    <row r="27" spans="1:17" ht="19.5" customHeight="1" x14ac:dyDescent="0.2">
      <c r="B27" s="494" t="s">
        <v>134</v>
      </c>
      <c r="C27" s="461"/>
      <c r="D27" s="461"/>
      <c r="E27" s="255">
        <v>144</v>
      </c>
      <c r="F27" s="256">
        <v>93</v>
      </c>
      <c r="G27" s="256">
        <v>104</v>
      </c>
      <c r="H27" s="256">
        <v>152</v>
      </c>
      <c r="I27" s="256">
        <v>137</v>
      </c>
      <c r="J27" s="256">
        <v>149</v>
      </c>
      <c r="K27" s="256">
        <v>160</v>
      </c>
      <c r="L27" s="256">
        <v>123</v>
      </c>
      <c r="M27" s="256">
        <v>131</v>
      </c>
      <c r="N27" s="256">
        <v>170</v>
      </c>
      <c r="O27" s="256">
        <v>122</v>
      </c>
      <c r="P27" s="257">
        <f>IF('Subcases Monthly'!$D$4="","",VLOOKUP('Subcases Monthly'!$D$4,'ReOpens by Court Division'!$A$4:$EJ$70,69,FALSE))</f>
        <v>0</v>
      </c>
      <c r="Q27" s="157">
        <f t="shared" si="5"/>
        <v>1485</v>
      </c>
    </row>
    <row r="28" spans="1:17" ht="19.5" customHeight="1" x14ac:dyDescent="0.2">
      <c r="B28" s="494" t="s">
        <v>135</v>
      </c>
      <c r="C28" s="461"/>
      <c r="D28" s="461"/>
      <c r="E28" s="141">
        <v>466</v>
      </c>
      <c r="F28" s="142">
        <v>452</v>
      </c>
      <c r="G28" s="142">
        <v>423</v>
      </c>
      <c r="H28" s="142">
        <v>485</v>
      </c>
      <c r="I28" s="142">
        <v>501</v>
      </c>
      <c r="J28" s="142">
        <v>531</v>
      </c>
      <c r="K28" s="142">
        <v>543</v>
      </c>
      <c r="L28" s="142">
        <v>549</v>
      </c>
      <c r="M28" s="142">
        <v>559</v>
      </c>
      <c r="N28" s="142">
        <v>571</v>
      </c>
      <c r="O28" s="142">
        <v>514</v>
      </c>
      <c r="P28" s="254">
        <f>IF('Subcases Monthly'!$D$4="","",VLOOKUP('Subcases Monthly'!$D$4,'ReOpens by Court Division'!$A$4:$EJ$70,83,FALSE))</f>
        <v>0</v>
      </c>
      <c r="Q28" s="157">
        <f t="shared" si="5"/>
        <v>5594</v>
      </c>
    </row>
    <row r="29" spans="1:17" ht="19.5" customHeight="1" x14ac:dyDescent="0.2">
      <c r="B29" s="494" t="s">
        <v>136</v>
      </c>
      <c r="C29" s="461"/>
      <c r="D29" s="461"/>
      <c r="E29" s="255">
        <v>243</v>
      </c>
      <c r="F29" s="256">
        <v>221</v>
      </c>
      <c r="G29" s="256">
        <v>227</v>
      </c>
      <c r="H29" s="256">
        <v>277</v>
      </c>
      <c r="I29" s="256">
        <v>247</v>
      </c>
      <c r="J29" s="256">
        <v>319</v>
      </c>
      <c r="K29" s="256">
        <v>284</v>
      </c>
      <c r="L29" s="256">
        <v>281</v>
      </c>
      <c r="M29" s="256">
        <v>326</v>
      </c>
      <c r="N29" s="256">
        <v>295</v>
      </c>
      <c r="O29" s="256">
        <v>310</v>
      </c>
      <c r="P29" s="257">
        <f>IF('Subcases Monthly'!$D$4="","",VLOOKUP('Subcases Monthly'!$D$4,'ReOpens by Court Division'!$A$4:$EJ$70,97,FALSE))</f>
        <v>0</v>
      </c>
      <c r="Q29" s="157">
        <f t="shared" si="5"/>
        <v>3030</v>
      </c>
    </row>
    <row r="30" spans="1:17" ht="19.5" customHeight="1" x14ac:dyDescent="0.2">
      <c r="B30" s="494" t="s">
        <v>229</v>
      </c>
      <c r="C30" s="461"/>
      <c r="D30" s="461"/>
      <c r="E30" s="141">
        <v>641</v>
      </c>
      <c r="F30" s="142">
        <v>885</v>
      </c>
      <c r="G30" s="142">
        <v>440</v>
      </c>
      <c r="H30" s="142">
        <v>669</v>
      </c>
      <c r="I30" s="142">
        <v>666</v>
      </c>
      <c r="J30" s="142">
        <v>602</v>
      </c>
      <c r="K30" s="142">
        <v>601</v>
      </c>
      <c r="L30" s="142">
        <v>550</v>
      </c>
      <c r="M30" s="142">
        <v>520</v>
      </c>
      <c r="N30" s="142">
        <v>825</v>
      </c>
      <c r="O30" s="142">
        <v>655</v>
      </c>
      <c r="P30" s="254">
        <f>IF('Subcases Monthly'!$D$4="","",VLOOKUP('Subcases Monthly'!$D$4,'ReOpens by Court Division'!$A$4:$EJ$70,111,FALSE))</f>
        <v>0</v>
      </c>
      <c r="Q30" s="157">
        <f t="shared" si="5"/>
        <v>7054</v>
      </c>
    </row>
    <row r="31" spans="1:17" ht="19.5" customHeight="1" thickBot="1" x14ac:dyDescent="0.25">
      <c r="B31" s="494" t="s">
        <v>139</v>
      </c>
      <c r="C31" s="461"/>
      <c r="D31" s="461"/>
      <c r="E31" s="258">
        <v>50</v>
      </c>
      <c r="F31" s="259">
        <v>57</v>
      </c>
      <c r="G31" s="259">
        <v>41</v>
      </c>
      <c r="H31" s="259">
        <v>57</v>
      </c>
      <c r="I31" s="259">
        <v>50</v>
      </c>
      <c r="J31" s="259">
        <v>43</v>
      </c>
      <c r="K31" s="259">
        <v>58</v>
      </c>
      <c r="L31" s="259">
        <v>53</v>
      </c>
      <c r="M31" s="259">
        <v>65</v>
      </c>
      <c r="N31" s="259">
        <v>69</v>
      </c>
      <c r="O31" s="259">
        <v>58</v>
      </c>
      <c r="P31" s="260">
        <f>IF('Subcases Monthly'!$D$4="","",VLOOKUP('Subcases Monthly'!$D$4,'ReOpens by Court Division'!$A$4:$EJ$70,125,FALSE))</f>
        <v>0</v>
      </c>
      <c r="Q31" s="157">
        <f t="shared" si="5"/>
        <v>601</v>
      </c>
    </row>
    <row r="32" spans="1:17" ht="19.5" hidden="1" customHeight="1" thickBot="1" x14ac:dyDescent="0.25">
      <c r="B32" s="497" t="s">
        <v>138</v>
      </c>
      <c r="C32" s="469"/>
      <c r="D32" s="470"/>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8" t="str">
        <f>"TOTAL "&amp;C22&amp;" "</f>
        <v xml:space="preserve">TOTAL REOPENS </v>
      </c>
      <c r="C33" s="471"/>
      <c r="D33" s="472"/>
      <c r="E33" s="211">
        <f t="shared" ref="E33:P33" si="6">SUM(E23:E32)</f>
        <v>2907</v>
      </c>
      <c r="F33" s="212">
        <f t="shared" si="6"/>
        <v>2775</v>
      </c>
      <c r="G33" s="212">
        <f t="shared" si="6"/>
        <v>2394</v>
      </c>
      <c r="H33" s="212">
        <f t="shared" si="6"/>
        <v>2968</v>
      </c>
      <c r="I33" s="212">
        <f t="shared" si="6"/>
        <v>2695</v>
      </c>
      <c r="J33" s="212">
        <f t="shared" si="6"/>
        <v>2974</v>
      </c>
      <c r="K33" s="212">
        <f t="shared" si="6"/>
        <v>3048</v>
      </c>
      <c r="L33" s="212">
        <f t="shared" si="6"/>
        <v>2830</v>
      </c>
      <c r="M33" s="212">
        <f t="shared" si="6"/>
        <v>2824</v>
      </c>
      <c r="N33" s="212">
        <f t="shared" si="6"/>
        <v>3054</v>
      </c>
      <c r="O33" s="212">
        <f t="shared" si="6"/>
        <v>2872</v>
      </c>
      <c r="P33" s="248">
        <f t="shared" si="6"/>
        <v>0</v>
      </c>
      <c r="Q33" s="262">
        <f t="shared" si="5"/>
        <v>31341</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5" t="s">
        <v>132</v>
      </c>
      <c r="C36" s="474"/>
      <c r="D36" s="474"/>
      <c r="E36" s="252">
        <v>26</v>
      </c>
      <c r="F36" s="173">
        <v>24</v>
      </c>
      <c r="G36" s="173">
        <v>20</v>
      </c>
      <c r="H36" s="173">
        <v>21</v>
      </c>
      <c r="I36" s="173">
        <v>42</v>
      </c>
      <c r="J36" s="173">
        <v>22</v>
      </c>
      <c r="K36" s="173">
        <v>35</v>
      </c>
      <c r="L36" s="173">
        <v>11</v>
      </c>
      <c r="M36" s="173">
        <v>16</v>
      </c>
      <c r="N36" s="173">
        <v>27</v>
      </c>
      <c r="O36" s="173">
        <v>11</v>
      </c>
      <c r="P36" s="253">
        <f>IF('Subcases Monthly'!$D$4="","",VLOOKUP('Subcases Monthly'!$D$4,'NOAs by Court Division'!$A$4:$EJ$70,13,FALSE))</f>
        <v>0</v>
      </c>
      <c r="Q36" s="153">
        <f>SUM(E36:P36)</f>
        <v>255</v>
      </c>
    </row>
    <row r="37" spans="1:17" ht="19.5" customHeight="1" x14ac:dyDescent="0.2">
      <c r="B37" s="494" t="s">
        <v>133</v>
      </c>
      <c r="C37" s="461"/>
      <c r="D37" s="461"/>
      <c r="E37" s="141">
        <v>0</v>
      </c>
      <c r="F37" s="142">
        <v>3</v>
      </c>
      <c r="G37" s="142">
        <v>0</v>
      </c>
      <c r="H37" s="142">
        <f>IF('Subcases Monthly'!$D$4="","",VLOOKUP('Subcases Monthly'!$D$4,'NOAs by Court Division'!$A$4:$EJ$70,19,FALSE))</f>
        <v>0</v>
      </c>
      <c r="I37" s="142">
        <v>1</v>
      </c>
      <c r="J37" s="142">
        <v>1</v>
      </c>
      <c r="K37" s="142">
        <v>1</v>
      </c>
      <c r="L37" s="142">
        <v>3</v>
      </c>
      <c r="M37" s="142">
        <v>3</v>
      </c>
      <c r="N37" s="142">
        <v>0</v>
      </c>
      <c r="O37" s="142">
        <v>1</v>
      </c>
      <c r="P37" s="254">
        <f>IF('Subcases Monthly'!$D$4="","",VLOOKUP('Subcases Monthly'!$D$4,'NOAs by Court Division'!$A$4:$EJ$70,27,FALSE))</f>
        <v>0</v>
      </c>
      <c r="Q37" s="157">
        <f t="shared" ref="Q37:Q46" si="8">SUM(E37:P37)</f>
        <v>13</v>
      </c>
    </row>
    <row r="38" spans="1:17" ht="19.5" customHeight="1" x14ac:dyDescent="0.2">
      <c r="B38" s="494" t="s">
        <v>140</v>
      </c>
      <c r="C38" s="461"/>
      <c r="D38" s="461"/>
      <c r="E38" s="255">
        <v>0</v>
      </c>
      <c r="F38" s="256">
        <v>0</v>
      </c>
      <c r="G38" s="256">
        <v>0</v>
      </c>
      <c r="H38" s="256">
        <v>1</v>
      </c>
      <c r="I38" s="256">
        <v>0</v>
      </c>
      <c r="J38" s="256">
        <v>0</v>
      </c>
      <c r="K38" s="256">
        <f>IF('Subcases Monthly'!$D$4="","",VLOOKUP('Subcases Monthly'!$D$4,'NOAs by Court Division'!$A$4:$EJ$70,36,FALSE))</f>
        <v>0</v>
      </c>
      <c r="L38" s="256">
        <f>IF('Subcases Monthly'!$D$4="","",VLOOKUP('Subcases Monthly'!$D$4,'NOAs by Court Division'!$A$4:$EJ$70,37,FALSE))</f>
        <v>0</v>
      </c>
      <c r="M38" s="256">
        <v>1</v>
      </c>
      <c r="N38" s="256">
        <v>1</v>
      </c>
      <c r="O38" s="256">
        <f>IF('Subcases Monthly'!$D$4="","",VLOOKUP('Subcases Monthly'!$D$4,'NOAs by Court Division'!$A$4:$EJ$70,40,FALSE))</f>
        <v>0</v>
      </c>
      <c r="P38" s="257">
        <f>IF('Subcases Monthly'!$D$4="","",VLOOKUP('Subcases Monthly'!$D$4,'NOAs by Court Division'!$A$4:$EJ$70,41,FALSE))</f>
        <v>0</v>
      </c>
      <c r="Q38" s="157">
        <f t="shared" si="8"/>
        <v>3</v>
      </c>
    </row>
    <row r="39" spans="1:17" ht="19.5" customHeight="1" x14ac:dyDescent="0.2">
      <c r="B39" s="494" t="s">
        <v>137</v>
      </c>
      <c r="C39" s="461"/>
      <c r="D39" s="461"/>
      <c r="E39" s="141">
        <v>3</v>
      </c>
      <c r="F39" s="142">
        <v>6</v>
      </c>
      <c r="G39" s="142">
        <v>1</v>
      </c>
      <c r="H39" s="142">
        <v>10</v>
      </c>
      <c r="I39" s="142">
        <v>4</v>
      </c>
      <c r="J39" s="142">
        <v>5</v>
      </c>
      <c r="K39" s="142">
        <v>15</v>
      </c>
      <c r="L39" s="142">
        <v>4</v>
      </c>
      <c r="M39" s="142">
        <v>3</v>
      </c>
      <c r="N39" s="142">
        <v>4</v>
      </c>
      <c r="O39" s="142">
        <v>4</v>
      </c>
      <c r="P39" s="254">
        <f>IF('Subcases Monthly'!$D$4="","",VLOOKUP('Subcases Monthly'!$D$4,'NOAs by Court Division'!$A$4:$EJ$70,55,FALSE))</f>
        <v>0</v>
      </c>
      <c r="Q39" s="157">
        <f t="shared" si="8"/>
        <v>59</v>
      </c>
    </row>
    <row r="40" spans="1:17" ht="19.5" customHeight="1" x14ac:dyDescent="0.2">
      <c r="B40" s="494" t="s">
        <v>134</v>
      </c>
      <c r="C40" s="461"/>
      <c r="D40" s="461"/>
      <c r="E40" s="255">
        <v>7</v>
      </c>
      <c r="F40" s="256">
        <v>6</v>
      </c>
      <c r="G40" s="256">
        <v>4</v>
      </c>
      <c r="H40" s="256">
        <v>5</v>
      </c>
      <c r="I40" s="256">
        <v>4</v>
      </c>
      <c r="J40" s="256">
        <v>6</v>
      </c>
      <c r="K40" s="256">
        <v>7</v>
      </c>
      <c r="L40" s="256">
        <v>6</v>
      </c>
      <c r="M40" s="256">
        <v>11</v>
      </c>
      <c r="N40" s="256">
        <v>10</v>
      </c>
      <c r="O40" s="256">
        <v>14</v>
      </c>
      <c r="P40" s="257">
        <f>IF('Subcases Monthly'!$D$4="","",VLOOKUP('Subcases Monthly'!$D$4,'NOAs by Court Division'!$A$4:$EJ$70,69,FALSE))</f>
        <v>0</v>
      </c>
      <c r="Q40" s="157">
        <f t="shared" si="8"/>
        <v>80</v>
      </c>
    </row>
    <row r="41" spans="1:17" ht="19.5" customHeight="1" x14ac:dyDescent="0.2">
      <c r="B41" s="494" t="s">
        <v>135</v>
      </c>
      <c r="C41" s="461"/>
      <c r="D41" s="461"/>
      <c r="E41" s="141">
        <v>2</v>
      </c>
      <c r="F41" s="142">
        <v>3</v>
      </c>
      <c r="G41" s="142">
        <v>2</v>
      </c>
      <c r="H41" s="142">
        <v>7</v>
      </c>
      <c r="I41" s="142">
        <v>2</v>
      </c>
      <c r="J41" s="142">
        <v>3</v>
      </c>
      <c r="K41" s="142">
        <v>2</v>
      </c>
      <c r="L41" s="142">
        <v>3</v>
      </c>
      <c r="M41" s="142">
        <v>1</v>
      </c>
      <c r="N41" s="142">
        <v>1</v>
      </c>
      <c r="O41" s="142">
        <v>2</v>
      </c>
      <c r="P41" s="254">
        <f>IF('Subcases Monthly'!$D$4="","",VLOOKUP('Subcases Monthly'!$D$4,'NOAs by Court Division'!$A$4:$EJ$70,83,FALSE))</f>
        <v>0</v>
      </c>
      <c r="Q41" s="157">
        <f t="shared" si="8"/>
        <v>28</v>
      </c>
    </row>
    <row r="42" spans="1:17" ht="19.5" customHeight="1" x14ac:dyDescent="0.2">
      <c r="B42" s="494" t="s">
        <v>136</v>
      </c>
      <c r="C42" s="461"/>
      <c r="D42" s="461"/>
      <c r="E42" s="255">
        <v>0</v>
      </c>
      <c r="F42" s="256">
        <v>2</v>
      </c>
      <c r="G42" s="256">
        <v>1</v>
      </c>
      <c r="H42" s="256">
        <v>0</v>
      </c>
      <c r="I42" s="256">
        <v>0</v>
      </c>
      <c r="J42" s="256">
        <v>1</v>
      </c>
      <c r="K42" s="256">
        <v>1</v>
      </c>
      <c r="L42" s="256">
        <f>IF('Subcases Monthly'!$D$4="","",VLOOKUP('Subcases Monthly'!$D$4,'NOAs by Court Division'!$A$4:$EJ$70,93,FALSE))</f>
        <v>0</v>
      </c>
      <c r="M42" s="256">
        <f>IF('Subcases Monthly'!$D$4="","",VLOOKUP('Subcases Monthly'!$D$4,'NOAs by Court Division'!$A$4:$EJ$70,94,FALSE))</f>
        <v>0</v>
      </c>
      <c r="N42" s="256">
        <v>0</v>
      </c>
      <c r="O42" s="256">
        <v>0</v>
      </c>
      <c r="P42" s="257">
        <f>IF('Subcases Monthly'!$D$4="","",VLOOKUP('Subcases Monthly'!$D$4,'NOAs by Court Division'!$A$4:$EJ$70,97,FALSE))</f>
        <v>0</v>
      </c>
      <c r="Q42" s="157">
        <f t="shared" si="8"/>
        <v>5</v>
      </c>
    </row>
    <row r="43" spans="1:17" ht="19.5" customHeight="1" x14ac:dyDescent="0.2">
      <c r="B43" s="494" t="s">
        <v>229</v>
      </c>
      <c r="C43" s="461"/>
      <c r="D43" s="461"/>
      <c r="E43" s="141">
        <v>5</v>
      </c>
      <c r="F43" s="142">
        <v>4</v>
      </c>
      <c r="G43" s="142">
        <v>2</v>
      </c>
      <c r="H43" s="142">
        <v>4</v>
      </c>
      <c r="I43" s="142">
        <v>4</v>
      </c>
      <c r="J43" s="142">
        <v>4</v>
      </c>
      <c r="K43" s="142">
        <v>1</v>
      </c>
      <c r="L43" s="142">
        <v>3</v>
      </c>
      <c r="M43" s="142">
        <v>9</v>
      </c>
      <c r="N43" s="142">
        <v>8</v>
      </c>
      <c r="O43" s="142">
        <v>7</v>
      </c>
      <c r="P43" s="254">
        <f>IF('Subcases Monthly'!$D$4="","",VLOOKUP('Subcases Monthly'!$D$4,'NOAs by Court Division'!$A$4:$EJ$70,111,FALSE))</f>
        <v>0</v>
      </c>
      <c r="Q43" s="157">
        <f t="shared" si="8"/>
        <v>51</v>
      </c>
    </row>
    <row r="44" spans="1:17" ht="19.5" customHeight="1" x14ac:dyDescent="0.2">
      <c r="B44" s="494" t="s">
        <v>139</v>
      </c>
      <c r="C44" s="461"/>
      <c r="D44" s="461"/>
      <c r="E44" s="255">
        <v>0</v>
      </c>
      <c r="F44" s="256">
        <v>1</v>
      </c>
      <c r="G44" s="256">
        <v>0</v>
      </c>
      <c r="H44" s="256">
        <v>1</v>
      </c>
      <c r="I44" s="256">
        <v>1</v>
      </c>
      <c r="J44" s="256">
        <f>IF('Subcases Monthly'!$D$4="","",VLOOKUP('Subcases Monthly'!$D$4,'NOAs by Court Division'!$A$4:$EJ$70,41,FALSE))</f>
        <v>0</v>
      </c>
      <c r="K44" s="256">
        <v>1</v>
      </c>
      <c r="L44" s="256">
        <v>2</v>
      </c>
      <c r="M44" s="256">
        <v>1</v>
      </c>
      <c r="N44" s="256">
        <v>5</v>
      </c>
      <c r="O44" s="256">
        <v>5</v>
      </c>
      <c r="P44" s="257">
        <f>IF('Subcases Monthly'!$D$4="","",VLOOKUP('Subcases Monthly'!$D$4,'NOAs by Court Division'!$A$4:$EJ$70,125,FALSE))</f>
        <v>0</v>
      </c>
      <c r="Q44" s="157">
        <f t="shared" si="8"/>
        <v>17</v>
      </c>
    </row>
    <row r="45" spans="1:17" ht="19.5" customHeight="1" thickBot="1" x14ac:dyDescent="0.25">
      <c r="B45" s="497" t="s">
        <v>138</v>
      </c>
      <c r="C45" s="469"/>
      <c r="D45" s="470"/>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v>1</v>
      </c>
      <c r="M45" s="142">
        <f>IF('Subcases Monthly'!$D$4="","",VLOOKUP('Subcases Monthly'!$D$4,'NOAs by Court Division'!$A$4:$EJ$70,136,FALSE))</f>
        <v>0</v>
      </c>
      <c r="N45" s="142">
        <v>0</v>
      </c>
      <c r="O45" s="142">
        <v>1</v>
      </c>
      <c r="P45" s="254">
        <f>IF('Subcases Monthly'!$D$4="","",VLOOKUP('Subcases Monthly'!$D$4,'NOAs by Court Division'!$A$4:$EJ$70,139,FALSE))</f>
        <v>0</v>
      </c>
      <c r="Q45" s="161">
        <f t="shared" si="8"/>
        <v>3</v>
      </c>
    </row>
    <row r="46" spans="1:17" s="13" customFormat="1" ht="19.5" customHeight="1" thickTop="1" thickBot="1" x14ac:dyDescent="0.25">
      <c r="B46" s="498" t="str">
        <f>"TOTAL "&amp;C35&amp;" ="</f>
        <v>TOTAL NOAs =</v>
      </c>
      <c r="C46" s="471"/>
      <c r="D46" s="472"/>
      <c r="E46" s="211">
        <f t="shared" ref="E46:P46" si="9">SUM(E36:E45)</f>
        <v>43</v>
      </c>
      <c r="F46" s="212">
        <f t="shared" si="9"/>
        <v>49</v>
      </c>
      <c r="G46" s="212">
        <f t="shared" si="9"/>
        <v>30</v>
      </c>
      <c r="H46" s="212">
        <f t="shared" si="9"/>
        <v>49</v>
      </c>
      <c r="I46" s="212">
        <f t="shared" si="9"/>
        <v>59</v>
      </c>
      <c r="J46" s="212">
        <f t="shared" si="9"/>
        <v>42</v>
      </c>
      <c r="K46" s="212">
        <f t="shared" si="9"/>
        <v>63</v>
      </c>
      <c r="L46" s="212">
        <f t="shared" si="9"/>
        <v>33</v>
      </c>
      <c r="M46" s="212">
        <f t="shared" si="9"/>
        <v>45</v>
      </c>
      <c r="N46" s="212">
        <f t="shared" si="9"/>
        <v>56</v>
      </c>
      <c r="O46" s="212">
        <f t="shared" si="9"/>
        <v>45</v>
      </c>
      <c r="P46" s="248">
        <f t="shared" si="9"/>
        <v>0</v>
      </c>
      <c r="Q46" s="262">
        <f t="shared" si="8"/>
        <v>514</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9" t="s">
        <v>244</v>
      </c>
      <c r="B1" s="509"/>
      <c r="C1" s="509"/>
      <c r="D1" s="509"/>
      <c r="E1" s="509"/>
      <c r="F1" s="509"/>
    </row>
    <row r="2" spans="1:19" ht="24" customHeight="1" x14ac:dyDescent="0.2">
      <c r="A2" s="509" t="str">
        <f>'Subcases Monthly'!A2</f>
        <v>County Fiscal Year 2024-2025</v>
      </c>
      <c r="B2" s="509"/>
      <c r="C2" s="509"/>
      <c r="D2" s="509"/>
    </row>
    <row r="3" spans="1:19" ht="24" customHeight="1" x14ac:dyDescent="0.2">
      <c r="N3"/>
      <c r="O3"/>
    </row>
    <row r="4" spans="1:19" ht="21" customHeight="1" x14ac:dyDescent="0.2">
      <c r="A4" s="6"/>
      <c r="C4" s="21" t="s">
        <v>2</v>
      </c>
      <c r="D4" s="499" t="str">
        <f>IF('Subcases Monthly'!D4="","",'Subcases Monthly'!D4)</f>
        <v>Brevard</v>
      </c>
      <c r="E4" s="499"/>
      <c r="F4" s="6"/>
      <c r="G4" s="21" t="s">
        <v>303</v>
      </c>
      <c r="H4" s="477" t="s">
        <v>385</v>
      </c>
      <c r="I4" s="477"/>
      <c r="K4" s="21" t="s">
        <v>3</v>
      </c>
      <c r="L4" s="164">
        <v>1</v>
      </c>
      <c r="N4"/>
      <c r="O4"/>
      <c r="R4" s="510" t="s">
        <v>1909</v>
      </c>
      <c r="S4" s="510"/>
    </row>
    <row r="5" spans="1:19" ht="21" customHeight="1" x14ac:dyDescent="0.3">
      <c r="A5" s="6"/>
      <c r="C5" s="21" t="s">
        <v>73</v>
      </c>
      <c r="D5" s="511" t="str">
        <f>IF('Subcases Monthly'!D5="","",'Subcases Monthly'!D5)</f>
        <v xml:space="preserve">Carol Vail </v>
      </c>
      <c r="E5" s="511"/>
      <c r="F5" s="6"/>
      <c r="N5" s="7"/>
      <c r="R5" s="510"/>
      <c r="S5" s="510"/>
    </row>
    <row r="6" spans="1:19" ht="21" customHeight="1" x14ac:dyDescent="0.2">
      <c r="A6" s="6"/>
      <c r="C6" s="21" t="s">
        <v>84</v>
      </c>
      <c r="D6" s="499" t="str">
        <f>IF('Subcases Monthly'!D6="","",'Subcases Monthly'!D6)</f>
        <v>carol.vail@brevardclerk.us</v>
      </c>
      <c r="E6" s="499"/>
      <c r="F6" s="6"/>
      <c r="G6" s="62"/>
      <c r="H6" s="62"/>
      <c r="I6" s="62"/>
      <c r="L6"/>
      <c r="M6"/>
      <c r="N6"/>
      <c r="O6"/>
      <c r="P6"/>
      <c r="Q6"/>
    </row>
    <row r="7" spans="1:19" ht="21" customHeight="1" x14ac:dyDescent="0.2">
      <c r="A7" s="6"/>
      <c r="L7"/>
      <c r="M7"/>
      <c r="N7"/>
      <c r="O7"/>
    </row>
    <row r="8" spans="1:19" ht="19.5" customHeight="1" thickBot="1" x14ac:dyDescent="0.25">
      <c r="A8" s="528" t="s">
        <v>245</v>
      </c>
      <c r="B8" s="528"/>
      <c r="C8" s="528"/>
      <c r="D8" s="528"/>
      <c r="E8" s="18" t="s">
        <v>246</v>
      </c>
      <c r="L8" s="17" t="s">
        <v>254</v>
      </c>
    </row>
    <row r="9" spans="1:19" ht="27" customHeight="1" thickBot="1" x14ac:dyDescent="0.25">
      <c r="A9" s="17"/>
      <c r="B9" s="17"/>
      <c r="C9" s="17"/>
      <c r="D9" s="17"/>
      <c r="E9" s="524" t="s">
        <v>233</v>
      </c>
      <c r="F9" s="526"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56" t="s">
        <v>253</v>
      </c>
      <c r="L9" s="515" t="str">
        <f t="shared" ref="L9:M9" si="0">TEXT(DATE(LEFT(RIGHT($A$2,9),4),10,1),"m/d/yy")&amp;" - "&amp;TEXT(DATE(LEFT(RIGHT($A$2,9),4),12,31),"m/d/yy")</f>
        <v>10/1/24 - 12/31/24</v>
      </c>
      <c r="M9" s="516" t="str">
        <f t="shared" si="0"/>
        <v>10/1/24 - 12/31/24</v>
      </c>
      <c r="N9" s="515" t="str">
        <f t="shared" ref="N9:O9" si="1">TEXT(DATE(RIGHT($A$2,4),1,1),"m/d/yy")&amp;" - "&amp;TEXT(DATE(RIGHT($A$2,4),3,31),"m/d/yy")</f>
        <v>1/1/25 - 3/31/25</v>
      </c>
      <c r="O9" s="516" t="str">
        <f t="shared" si="1"/>
        <v>1/1/25 - 3/31/25</v>
      </c>
      <c r="P9" s="515" t="str">
        <f t="shared" ref="P9:Q9" si="2">TEXT(DATE(RIGHT($A$2,4),4,1),"m/d/yy")&amp;" - "&amp;TEXT(DATE(RIGHT($A$2,4),6,30),"m/d/yy")</f>
        <v>4/1/25 - 6/30/25</v>
      </c>
      <c r="Q9" s="517" t="str">
        <f t="shared" si="2"/>
        <v>4/1/25 - 6/30/25</v>
      </c>
      <c r="R9" s="532" t="str">
        <f t="shared" ref="R9:S9" si="3">TEXT(DATE(RIGHT($A$2,4),7,1),"m/d/yy")&amp;" - "&amp;TEXT(DATE(RIGHT($A$2,4),9,30),"m/d/yy")</f>
        <v>7/1/25 - 9/30/25</v>
      </c>
      <c r="S9" s="533" t="str">
        <f t="shared" si="3"/>
        <v>7/1/25 - 9/30/25</v>
      </c>
    </row>
    <row r="10" spans="1:19" ht="19.5" customHeight="1" thickBot="1" x14ac:dyDescent="0.25">
      <c r="B10" s="17"/>
      <c r="C10" s="552"/>
      <c r="D10" s="553"/>
      <c r="E10" s="525"/>
      <c r="F10" s="527"/>
      <c r="G10" s="170" t="s">
        <v>249</v>
      </c>
      <c r="H10" s="171" t="s">
        <v>250</v>
      </c>
      <c r="I10" s="171" t="s">
        <v>251</v>
      </c>
      <c r="J10" s="172" t="s">
        <v>252</v>
      </c>
      <c r="K10" s="557"/>
      <c r="L10" s="165" t="s">
        <v>234</v>
      </c>
      <c r="M10" s="166" t="s">
        <v>242</v>
      </c>
      <c r="N10" s="165" t="s">
        <v>234</v>
      </c>
      <c r="O10" s="166" t="s">
        <v>242</v>
      </c>
      <c r="P10" s="165" t="s">
        <v>234</v>
      </c>
      <c r="Q10" s="166" t="s">
        <v>242</v>
      </c>
      <c r="R10" s="165" t="s">
        <v>234</v>
      </c>
      <c r="S10" s="166" t="s">
        <v>242</v>
      </c>
    </row>
    <row r="11" spans="1:19" ht="19.5" customHeight="1" x14ac:dyDescent="0.2">
      <c r="B11" s="518" t="s">
        <v>399</v>
      </c>
      <c r="C11" s="519"/>
      <c r="D11" s="114" t="s">
        <v>241</v>
      </c>
      <c r="E11" s="529">
        <v>0.8</v>
      </c>
      <c r="F11" s="512" t="s">
        <v>255</v>
      </c>
      <c r="G11" s="78">
        <f>SUM('Outputs Monthly'!E10:G10)</f>
        <v>1577</v>
      </c>
      <c r="H11" s="79">
        <f>SUM('Outputs Monthly'!H10:J10)</f>
        <v>1601</v>
      </c>
      <c r="I11" s="79">
        <f>SUM('Outputs Monthly'!K10:M10)</f>
        <v>1719</v>
      </c>
      <c r="J11" s="80">
        <f>SUM('Outputs Monthly'!N10:P10)</f>
        <v>1247</v>
      </c>
      <c r="K11" s="81">
        <f>SUM(G11:J11)</f>
        <v>6144</v>
      </c>
      <c r="L11" s="534"/>
      <c r="M11" s="537"/>
      <c r="N11" s="540"/>
      <c r="O11" s="537"/>
      <c r="P11" s="540"/>
      <c r="Q11" s="546"/>
      <c r="R11" s="543"/>
      <c r="S11" s="549"/>
    </row>
    <row r="12" spans="1:19" ht="19.5" customHeight="1" thickBot="1" x14ac:dyDescent="0.25">
      <c r="B12" s="520"/>
      <c r="C12" s="521"/>
      <c r="D12" s="113" t="s">
        <v>247</v>
      </c>
      <c r="E12" s="530"/>
      <c r="F12" s="513"/>
      <c r="G12" s="82">
        <v>1540</v>
      </c>
      <c r="H12" s="83">
        <v>1554</v>
      </c>
      <c r="I12" s="83">
        <v>1647</v>
      </c>
      <c r="J12" s="84">
        <v>1227</v>
      </c>
      <c r="K12" s="85">
        <f>SUM(G12:J12)</f>
        <v>5968</v>
      </c>
      <c r="L12" s="535"/>
      <c r="M12" s="538"/>
      <c r="N12" s="541"/>
      <c r="O12" s="538"/>
      <c r="P12" s="541"/>
      <c r="Q12" s="547"/>
      <c r="R12" s="544"/>
      <c r="S12" s="550"/>
    </row>
    <row r="13" spans="1:19" ht="19.5" customHeight="1" thickTop="1" thickBot="1" x14ac:dyDescent="0.25">
      <c r="B13" s="522"/>
      <c r="C13" s="523"/>
      <c r="D13" s="30" t="s">
        <v>236</v>
      </c>
      <c r="E13" s="531"/>
      <c r="F13" s="514"/>
      <c r="G13" s="86">
        <f>IF(G11=0,1,IFERROR(ROUND(G12/G11,4),0))</f>
        <v>0.97650000000000003</v>
      </c>
      <c r="H13" s="87">
        <f t="shared" ref="H13:K13" si="4">IF(H11=0,1,IFERROR(ROUND(H12/H11,4),0))</f>
        <v>0.97060000000000002</v>
      </c>
      <c r="I13" s="87">
        <f t="shared" si="4"/>
        <v>0.95809999999999995</v>
      </c>
      <c r="J13" s="88">
        <f t="shared" si="4"/>
        <v>0.98399999999999999</v>
      </c>
      <c r="K13" s="89">
        <f t="shared" si="4"/>
        <v>0.97140000000000004</v>
      </c>
      <c r="L13" s="536"/>
      <c r="M13" s="539"/>
      <c r="N13" s="542"/>
      <c r="O13" s="539"/>
      <c r="P13" s="542"/>
      <c r="Q13" s="548"/>
      <c r="R13" s="545"/>
      <c r="S13" s="551"/>
    </row>
    <row r="14" spans="1:19" customFormat="1" ht="19.5" customHeight="1" x14ac:dyDescent="0.2">
      <c r="B14" s="518" t="s">
        <v>398</v>
      </c>
      <c r="C14" s="519"/>
      <c r="D14" s="114" t="s">
        <v>241</v>
      </c>
      <c r="E14" s="529">
        <v>0.8</v>
      </c>
      <c r="F14" s="512" t="s">
        <v>256</v>
      </c>
      <c r="G14" s="78">
        <f>SUM('Outputs Monthly'!E11:G11)</f>
        <v>1636</v>
      </c>
      <c r="H14" s="79">
        <f>SUM('Outputs Monthly'!H11:J11)</f>
        <v>1704</v>
      </c>
      <c r="I14" s="79">
        <f>SUM('Outputs Monthly'!K11:M11)</f>
        <v>2045</v>
      </c>
      <c r="J14" s="80">
        <f>SUM('Outputs Monthly'!N11:P11)</f>
        <v>1374</v>
      </c>
      <c r="K14" s="81">
        <f>SUM(G14:J14)</f>
        <v>6759</v>
      </c>
      <c r="L14" s="534"/>
      <c r="M14" s="537"/>
      <c r="N14" s="540"/>
      <c r="O14" s="537"/>
      <c r="P14" s="540"/>
      <c r="Q14" s="546"/>
      <c r="R14" s="543"/>
      <c r="S14" s="549"/>
    </row>
    <row r="15" spans="1:19" customFormat="1" ht="19.5" customHeight="1" thickBot="1" x14ac:dyDescent="0.25">
      <c r="B15" s="520"/>
      <c r="C15" s="521"/>
      <c r="D15" s="113" t="s">
        <v>259</v>
      </c>
      <c r="E15" s="530"/>
      <c r="F15" s="513"/>
      <c r="G15" s="82">
        <v>1599</v>
      </c>
      <c r="H15" s="83">
        <v>1579</v>
      </c>
      <c r="I15" s="83">
        <v>1734</v>
      </c>
      <c r="J15" s="84">
        <v>1334</v>
      </c>
      <c r="K15" s="85">
        <f>SUM(G15:J15)</f>
        <v>6246</v>
      </c>
      <c r="L15" s="535"/>
      <c r="M15" s="538"/>
      <c r="N15" s="541"/>
      <c r="O15" s="538"/>
      <c r="P15" s="541"/>
      <c r="Q15" s="547"/>
      <c r="R15" s="544"/>
      <c r="S15" s="550"/>
    </row>
    <row r="16" spans="1:19" customFormat="1" ht="19.5" customHeight="1" thickTop="1" thickBot="1" x14ac:dyDescent="0.25">
      <c r="B16" s="522"/>
      <c r="C16" s="523"/>
      <c r="D16" s="30" t="s">
        <v>236</v>
      </c>
      <c r="E16" s="531"/>
      <c r="F16" s="514"/>
      <c r="G16" s="86">
        <f>IF(G14=0,1,IFERROR(ROUND(G15/G14,4),0))</f>
        <v>0.97740000000000005</v>
      </c>
      <c r="H16" s="87">
        <f t="shared" ref="H16" si="5">IF(H14=0,1,IFERROR(ROUND(H15/H14,4),0))</f>
        <v>0.92659999999999998</v>
      </c>
      <c r="I16" s="87">
        <f t="shared" ref="I16" si="6">IF(I14=0,1,IFERROR(ROUND(I15/I14,4),0))</f>
        <v>0.84789999999999999</v>
      </c>
      <c r="J16" s="88">
        <f t="shared" ref="J16" si="7">IF(J14=0,1,IFERROR(ROUND(J15/J14,4),0))</f>
        <v>0.97089999999999999</v>
      </c>
      <c r="K16" s="89">
        <f t="shared" ref="K16" si="8">IF(K14=0,1,IFERROR(ROUND(K15/K14,4),0))</f>
        <v>0.92410000000000003</v>
      </c>
      <c r="L16" s="536"/>
      <c r="M16" s="539"/>
      <c r="N16" s="542"/>
      <c r="O16" s="539"/>
      <c r="P16" s="542"/>
      <c r="Q16" s="548"/>
      <c r="R16" s="545"/>
      <c r="S16" s="551"/>
    </row>
    <row r="17" spans="2:19" customFormat="1" ht="19.5" customHeight="1" x14ac:dyDescent="0.2">
      <c r="B17" s="518" t="s">
        <v>400</v>
      </c>
      <c r="C17" s="519"/>
      <c r="D17" s="114" t="s">
        <v>241</v>
      </c>
      <c r="E17" s="529">
        <v>0.8</v>
      </c>
      <c r="F17" s="512" t="s">
        <v>255</v>
      </c>
      <c r="G17" s="78">
        <f>SUM('Outputs Monthly'!E12:G12)</f>
        <v>271</v>
      </c>
      <c r="H17" s="79">
        <f>SUM('Outputs Monthly'!H12:J12)</f>
        <v>220</v>
      </c>
      <c r="I17" s="79">
        <f>SUM('Outputs Monthly'!K12:M12)</f>
        <v>248</v>
      </c>
      <c r="J17" s="80">
        <f>SUM('Outputs Monthly'!N12:P12)</f>
        <v>164</v>
      </c>
      <c r="K17" s="81">
        <f>SUM(G17:J17)</f>
        <v>903</v>
      </c>
      <c r="L17" s="534"/>
      <c r="M17" s="537"/>
      <c r="N17" s="540"/>
      <c r="O17" s="537"/>
      <c r="P17" s="540"/>
      <c r="Q17" s="546"/>
      <c r="R17" s="543"/>
      <c r="S17" s="549"/>
    </row>
    <row r="18" spans="2:19" customFormat="1" ht="19.5" customHeight="1" thickBot="1" x14ac:dyDescent="0.25">
      <c r="B18" s="520"/>
      <c r="C18" s="521"/>
      <c r="D18" s="113" t="s">
        <v>247</v>
      </c>
      <c r="E18" s="530"/>
      <c r="F18" s="513"/>
      <c r="G18" s="82">
        <v>266</v>
      </c>
      <c r="H18" s="83">
        <v>214</v>
      </c>
      <c r="I18" s="83">
        <v>241</v>
      </c>
      <c r="J18" s="84">
        <v>161</v>
      </c>
      <c r="K18" s="85">
        <f>SUM(G18:J18)</f>
        <v>882</v>
      </c>
      <c r="L18" s="535"/>
      <c r="M18" s="538"/>
      <c r="N18" s="541"/>
      <c r="O18" s="538"/>
      <c r="P18" s="541"/>
      <c r="Q18" s="547"/>
      <c r="R18" s="544"/>
      <c r="S18" s="550"/>
    </row>
    <row r="19" spans="2:19" customFormat="1" ht="19.5" customHeight="1" thickTop="1" thickBot="1" x14ac:dyDescent="0.25">
      <c r="B19" s="522"/>
      <c r="C19" s="523"/>
      <c r="D19" s="30" t="s">
        <v>236</v>
      </c>
      <c r="E19" s="531"/>
      <c r="F19" s="514"/>
      <c r="G19" s="86">
        <f>IF(G17=0,1,IFERROR(ROUND(G18/G17,4),0))</f>
        <v>0.98150000000000004</v>
      </c>
      <c r="H19" s="87">
        <f t="shared" ref="H19" si="9">IF(H17=0,1,IFERROR(ROUND(H18/H17,4),0))</f>
        <v>0.97270000000000001</v>
      </c>
      <c r="I19" s="87">
        <f t="shared" ref="I19" si="10">IF(I17=0,1,IFERROR(ROUND(I18/I17,4),0))</f>
        <v>0.9718</v>
      </c>
      <c r="J19" s="88">
        <f t="shared" ref="J19" si="11">IF(J17=0,1,IFERROR(ROUND(J18/J17,4),0))</f>
        <v>0.98170000000000002</v>
      </c>
      <c r="K19" s="89">
        <f t="shared" ref="K19" si="12">IF(K17=0,1,IFERROR(ROUND(K18/K17,4),0))</f>
        <v>0.97670000000000001</v>
      </c>
      <c r="L19" s="536"/>
      <c r="M19" s="539"/>
      <c r="N19" s="542"/>
      <c r="O19" s="539"/>
      <c r="P19" s="542"/>
      <c r="Q19" s="548"/>
      <c r="R19" s="545"/>
      <c r="S19" s="551"/>
    </row>
    <row r="20" spans="2:19" customFormat="1" ht="19.5" customHeight="1" x14ac:dyDescent="0.2">
      <c r="B20" s="518" t="s">
        <v>257</v>
      </c>
      <c r="C20" s="519"/>
      <c r="D20" s="114" t="s">
        <v>258</v>
      </c>
      <c r="E20" s="529">
        <v>0.8</v>
      </c>
      <c r="F20" s="512" t="s">
        <v>256</v>
      </c>
      <c r="G20" s="78">
        <f>SUM('Outputs Monthly'!E13:G13)</f>
        <v>2154</v>
      </c>
      <c r="H20" s="79">
        <f>SUM('Outputs Monthly'!H13:J13)</f>
        <v>2396</v>
      </c>
      <c r="I20" s="79">
        <f>SUM('Outputs Monthly'!K13:M13)</f>
        <v>2624</v>
      </c>
      <c r="J20" s="80">
        <f>SUM('Outputs Monthly'!N13:P13)</f>
        <v>1815</v>
      </c>
      <c r="K20" s="81">
        <f>SUM(G20:J20)</f>
        <v>8989</v>
      </c>
      <c r="L20" s="534"/>
      <c r="M20" s="537"/>
      <c r="N20" s="540"/>
      <c r="O20" s="537"/>
      <c r="P20" s="540"/>
      <c r="Q20" s="546"/>
      <c r="R20" s="543"/>
      <c r="S20" s="549"/>
    </row>
    <row r="21" spans="2:19" customFormat="1" ht="19.5" customHeight="1" thickBot="1" x14ac:dyDescent="0.25">
      <c r="B21" s="520"/>
      <c r="C21" s="521"/>
      <c r="D21" s="113" t="s">
        <v>259</v>
      </c>
      <c r="E21" s="530"/>
      <c r="F21" s="513"/>
      <c r="G21" s="82">
        <v>2074</v>
      </c>
      <c r="H21" s="83">
        <v>2165</v>
      </c>
      <c r="I21" s="83">
        <v>2456</v>
      </c>
      <c r="J21" s="84">
        <v>1695</v>
      </c>
      <c r="K21" s="85">
        <f>SUM(G21:J21)</f>
        <v>8390</v>
      </c>
      <c r="L21" s="535"/>
      <c r="M21" s="538"/>
      <c r="N21" s="541"/>
      <c r="O21" s="538"/>
      <c r="P21" s="541"/>
      <c r="Q21" s="547"/>
      <c r="R21" s="544"/>
      <c r="S21" s="550"/>
    </row>
    <row r="22" spans="2:19" customFormat="1" ht="19.5" customHeight="1" thickTop="1" thickBot="1" x14ac:dyDescent="0.25">
      <c r="B22" s="522"/>
      <c r="C22" s="523"/>
      <c r="D22" s="30" t="s">
        <v>236</v>
      </c>
      <c r="E22" s="531"/>
      <c r="F22" s="514"/>
      <c r="G22" s="86">
        <f>IF(G20=0,1,IFERROR(ROUND(G21/G20,4),0))</f>
        <v>0.96289999999999998</v>
      </c>
      <c r="H22" s="87">
        <f t="shared" ref="H22" si="13">IF(H20=0,1,IFERROR(ROUND(H21/H20,4),0))</f>
        <v>0.90359999999999996</v>
      </c>
      <c r="I22" s="87">
        <f t="shared" ref="I22" si="14">IF(I20=0,1,IFERROR(ROUND(I21/I20,4),0))</f>
        <v>0.93600000000000005</v>
      </c>
      <c r="J22" s="88">
        <f t="shared" ref="J22" si="15">IF(J20=0,1,IFERROR(ROUND(J21/J20,4),0))</f>
        <v>0.93389999999999995</v>
      </c>
      <c r="K22" s="89">
        <f t="shared" ref="K22" si="16">IF(K20=0,1,IFERROR(ROUND(K21/K20,4),0))</f>
        <v>0.93340000000000001</v>
      </c>
      <c r="L22" s="536"/>
      <c r="M22" s="539"/>
      <c r="N22" s="542"/>
      <c r="O22" s="539"/>
      <c r="P22" s="542"/>
      <c r="Q22" s="548"/>
      <c r="R22" s="545"/>
      <c r="S22" s="551"/>
    </row>
    <row r="23" spans="2:19" customFormat="1" ht="19.5" customHeight="1" x14ac:dyDescent="0.2">
      <c r="B23" s="518" t="s">
        <v>260</v>
      </c>
      <c r="C23" s="519"/>
      <c r="D23" s="114" t="s">
        <v>241</v>
      </c>
      <c r="E23" s="529">
        <v>0.8</v>
      </c>
      <c r="F23" s="512" t="s">
        <v>255</v>
      </c>
      <c r="G23" s="78">
        <f>SUM('Outputs Monthly'!E14:G14)</f>
        <v>833</v>
      </c>
      <c r="H23" s="79">
        <f>SUM('Outputs Monthly'!H14:J14)</f>
        <v>921</v>
      </c>
      <c r="I23" s="79">
        <f>SUM('Outputs Monthly'!K14:M14)</f>
        <v>1053</v>
      </c>
      <c r="J23" s="80">
        <f>SUM('Outputs Monthly'!N14:P14)</f>
        <v>694</v>
      </c>
      <c r="K23" s="81">
        <f>SUM(G23:J23)</f>
        <v>3501</v>
      </c>
      <c r="L23" s="534"/>
      <c r="M23" s="537"/>
      <c r="N23" s="540" t="s">
        <v>235</v>
      </c>
      <c r="O23" s="537" t="s">
        <v>1913</v>
      </c>
      <c r="P23" s="540"/>
      <c r="Q23" s="546"/>
      <c r="R23" s="543"/>
      <c r="S23" s="549"/>
    </row>
    <row r="24" spans="2:19" customFormat="1" ht="19.5" customHeight="1" thickBot="1" x14ac:dyDescent="0.25">
      <c r="B24" s="520"/>
      <c r="C24" s="521"/>
      <c r="D24" s="113" t="s">
        <v>247</v>
      </c>
      <c r="E24" s="530"/>
      <c r="F24" s="513"/>
      <c r="G24" s="82">
        <v>697</v>
      </c>
      <c r="H24" s="83">
        <v>711</v>
      </c>
      <c r="I24" s="83">
        <v>965</v>
      </c>
      <c r="J24" s="84">
        <v>648</v>
      </c>
      <c r="K24" s="85">
        <f>SUM(G24:J24)</f>
        <v>3021</v>
      </c>
      <c r="L24" s="535"/>
      <c r="M24" s="538"/>
      <c r="N24" s="541"/>
      <c r="O24" s="538"/>
      <c r="P24" s="541"/>
      <c r="Q24" s="547"/>
      <c r="R24" s="544"/>
      <c r="S24" s="550"/>
    </row>
    <row r="25" spans="2:19" customFormat="1" ht="19.5" customHeight="1" thickTop="1" thickBot="1" x14ac:dyDescent="0.25">
      <c r="B25" s="522"/>
      <c r="C25" s="523"/>
      <c r="D25" s="30" t="s">
        <v>236</v>
      </c>
      <c r="E25" s="531"/>
      <c r="F25" s="514"/>
      <c r="G25" s="86">
        <f>IF(G23=0,1,IFERROR(ROUND(G24/G23,4),0))</f>
        <v>0.8367</v>
      </c>
      <c r="H25" s="87">
        <f t="shared" ref="H25" si="17">IF(H23=0,1,IFERROR(ROUND(H24/H23,4),0))</f>
        <v>0.77200000000000002</v>
      </c>
      <c r="I25" s="87">
        <f t="shared" ref="I25" si="18">IF(I23=0,1,IFERROR(ROUND(I24/I23,4),0))</f>
        <v>0.91639999999999999</v>
      </c>
      <c r="J25" s="88">
        <f t="shared" ref="J25" si="19">IF(J23=0,1,IFERROR(ROUND(J24/J23,4),0))</f>
        <v>0.93369999999999997</v>
      </c>
      <c r="K25" s="89">
        <f t="shared" ref="K25" si="20">IF(K23=0,1,IFERROR(ROUND(K24/K23,4),0))</f>
        <v>0.8629</v>
      </c>
      <c r="L25" s="536"/>
      <c r="M25" s="539"/>
      <c r="N25" s="542"/>
      <c r="O25" s="539"/>
      <c r="P25" s="542"/>
      <c r="Q25" s="548"/>
      <c r="R25" s="545"/>
      <c r="S25" s="551"/>
    </row>
    <row r="26" spans="2:19" customFormat="1" ht="19.5" customHeight="1" x14ac:dyDescent="0.2">
      <c r="B26" s="518" t="s">
        <v>261</v>
      </c>
      <c r="C26" s="519"/>
      <c r="D26" s="114" t="s">
        <v>241</v>
      </c>
      <c r="E26" s="529">
        <v>0.8</v>
      </c>
      <c r="F26" s="512" t="s">
        <v>255</v>
      </c>
      <c r="G26" s="78">
        <f>SUM('Outputs Monthly'!E15:G15)</f>
        <v>3544</v>
      </c>
      <c r="H26" s="79">
        <f>SUM('Outputs Monthly'!H15:J15)</f>
        <v>3506</v>
      </c>
      <c r="I26" s="79">
        <f>SUM('Outputs Monthly'!K15:M15)</f>
        <v>4127</v>
      </c>
      <c r="J26" s="80">
        <f>SUM('Outputs Monthly'!N15:P15)</f>
        <v>3047</v>
      </c>
      <c r="K26" s="81">
        <f>SUM(G26:J26)</f>
        <v>14224</v>
      </c>
      <c r="L26" s="534"/>
      <c r="M26" s="537"/>
      <c r="N26" s="540"/>
      <c r="O26" s="537"/>
      <c r="P26" s="540"/>
      <c r="Q26" s="546"/>
      <c r="R26" s="543"/>
      <c r="S26" s="549"/>
    </row>
    <row r="27" spans="2:19" customFormat="1" ht="19.5" customHeight="1" thickBot="1" x14ac:dyDescent="0.25">
      <c r="B27" s="520"/>
      <c r="C27" s="521"/>
      <c r="D27" s="113" t="s">
        <v>247</v>
      </c>
      <c r="E27" s="530"/>
      <c r="F27" s="513"/>
      <c r="G27" s="82">
        <v>3287</v>
      </c>
      <c r="H27" s="83">
        <v>3119</v>
      </c>
      <c r="I27" s="83">
        <v>3962</v>
      </c>
      <c r="J27" s="84">
        <v>2960</v>
      </c>
      <c r="K27" s="85">
        <f>SUM(G27:J27)</f>
        <v>13328</v>
      </c>
      <c r="L27" s="535"/>
      <c r="M27" s="538"/>
      <c r="N27" s="541"/>
      <c r="O27" s="538"/>
      <c r="P27" s="541"/>
      <c r="Q27" s="547"/>
      <c r="R27" s="544"/>
      <c r="S27" s="550"/>
    </row>
    <row r="28" spans="2:19" customFormat="1" ht="19.5" customHeight="1" thickTop="1" thickBot="1" x14ac:dyDescent="0.25">
      <c r="B28" s="522"/>
      <c r="C28" s="523"/>
      <c r="D28" s="30" t="s">
        <v>236</v>
      </c>
      <c r="E28" s="531"/>
      <c r="F28" s="514"/>
      <c r="G28" s="86">
        <f>IF(G26=0,1,IFERROR(ROUND(G27/G26,4),0))</f>
        <v>0.92749999999999999</v>
      </c>
      <c r="H28" s="87">
        <f t="shared" ref="H28" si="21">IF(H26=0,1,IFERROR(ROUND(H27/H26,4),0))</f>
        <v>0.88959999999999995</v>
      </c>
      <c r="I28" s="87">
        <f t="shared" ref="I28" si="22">IF(I26=0,1,IFERROR(ROUND(I27/I26,4),0))</f>
        <v>0.96</v>
      </c>
      <c r="J28" s="88">
        <f t="shared" ref="J28" si="23">IF(J26=0,1,IFERROR(ROUND(J27/J26,4),0))</f>
        <v>0.97140000000000004</v>
      </c>
      <c r="K28" s="89">
        <f t="shared" ref="K28" si="24">IF(K26=0,1,IFERROR(ROUND(K27/K26,4),0))</f>
        <v>0.93700000000000006</v>
      </c>
      <c r="L28" s="536"/>
      <c r="M28" s="539"/>
      <c r="N28" s="542"/>
      <c r="O28" s="539"/>
      <c r="P28" s="542"/>
      <c r="Q28" s="548"/>
      <c r="R28" s="545"/>
      <c r="S28" s="551"/>
    </row>
    <row r="29" spans="2:19" customFormat="1" ht="19.5" customHeight="1" x14ac:dyDescent="0.2">
      <c r="B29" s="518" t="s">
        <v>262</v>
      </c>
      <c r="C29" s="519"/>
      <c r="D29" s="114" t="s">
        <v>241</v>
      </c>
      <c r="E29" s="529">
        <v>0.8</v>
      </c>
      <c r="F29" s="512" t="s">
        <v>255</v>
      </c>
      <c r="G29" s="78">
        <f>SUM('Outputs Monthly'!E16:G16)</f>
        <v>1756</v>
      </c>
      <c r="H29" s="79">
        <f>SUM('Outputs Monthly'!H16:J16)</f>
        <v>1904</v>
      </c>
      <c r="I29" s="79">
        <f>SUM('Outputs Monthly'!K16:M16)</f>
        <v>2003</v>
      </c>
      <c r="J29" s="80">
        <f>SUM('Outputs Monthly'!N16:P16)</f>
        <v>1292</v>
      </c>
      <c r="K29" s="81">
        <f>SUM(G29:J29)</f>
        <v>6955</v>
      </c>
      <c r="L29" s="534"/>
      <c r="M29" s="537"/>
      <c r="N29" s="540"/>
      <c r="O29" s="537"/>
      <c r="P29" s="540" t="s">
        <v>235</v>
      </c>
      <c r="Q29" s="546" t="s">
        <v>1914</v>
      </c>
      <c r="R29" s="543" t="s">
        <v>235</v>
      </c>
      <c r="S29" s="549" t="s">
        <v>1914</v>
      </c>
    </row>
    <row r="30" spans="2:19" customFormat="1" ht="19.5" customHeight="1" thickBot="1" x14ac:dyDescent="0.25">
      <c r="B30" s="520"/>
      <c r="C30" s="521"/>
      <c r="D30" s="113" t="s">
        <v>247</v>
      </c>
      <c r="E30" s="530"/>
      <c r="F30" s="513"/>
      <c r="G30" s="82">
        <v>1465</v>
      </c>
      <c r="H30" s="83">
        <v>1703</v>
      </c>
      <c r="I30" s="83">
        <v>1349</v>
      </c>
      <c r="J30" s="84">
        <v>1006</v>
      </c>
      <c r="K30" s="85">
        <f>SUM(G30:J30)</f>
        <v>5523</v>
      </c>
      <c r="L30" s="535"/>
      <c r="M30" s="538"/>
      <c r="N30" s="541"/>
      <c r="O30" s="538"/>
      <c r="P30" s="541"/>
      <c r="Q30" s="547"/>
      <c r="R30" s="544"/>
      <c r="S30" s="550"/>
    </row>
    <row r="31" spans="2:19" customFormat="1" ht="19.5" customHeight="1" thickTop="1" thickBot="1" x14ac:dyDescent="0.25">
      <c r="B31" s="522"/>
      <c r="C31" s="523"/>
      <c r="D31" s="30" t="s">
        <v>236</v>
      </c>
      <c r="E31" s="531"/>
      <c r="F31" s="514"/>
      <c r="G31" s="86">
        <f>IF(G29=0,1,IFERROR(ROUND(G30/G29,4),0))</f>
        <v>0.83430000000000004</v>
      </c>
      <c r="H31" s="87">
        <f t="shared" ref="H31" si="25">IF(H29=0,1,IFERROR(ROUND(H30/H29,4),0))</f>
        <v>0.89439999999999997</v>
      </c>
      <c r="I31" s="87">
        <f t="shared" ref="I31" si="26">IF(I29=0,1,IFERROR(ROUND(I30/I29,4),0))</f>
        <v>0.67349999999999999</v>
      </c>
      <c r="J31" s="88">
        <f t="shared" ref="J31" si="27">IF(J29=0,1,IFERROR(ROUND(J30/J29,4),0))</f>
        <v>0.77859999999999996</v>
      </c>
      <c r="K31" s="89">
        <f t="shared" ref="K31" si="28">IF(K29=0,1,IFERROR(ROUND(K30/K29,4),0))</f>
        <v>0.79410000000000003</v>
      </c>
      <c r="L31" s="536"/>
      <c r="M31" s="539"/>
      <c r="N31" s="542"/>
      <c r="O31" s="539"/>
      <c r="P31" s="542"/>
      <c r="Q31" s="548"/>
      <c r="R31" s="545"/>
      <c r="S31" s="551"/>
    </row>
    <row r="32" spans="2:19" customFormat="1" ht="19.5" customHeight="1" x14ac:dyDescent="0.2">
      <c r="B32" s="518" t="s">
        <v>263</v>
      </c>
      <c r="C32" s="519"/>
      <c r="D32" s="114" t="s">
        <v>241</v>
      </c>
      <c r="E32" s="529">
        <v>0.8</v>
      </c>
      <c r="F32" s="512" t="s">
        <v>256</v>
      </c>
      <c r="G32" s="78">
        <f>SUM('Outputs Monthly'!E17:G17)</f>
        <v>1283</v>
      </c>
      <c r="H32" s="79">
        <f>SUM('Outputs Monthly'!H17:J17)</f>
        <v>1408</v>
      </c>
      <c r="I32" s="79">
        <f>SUM('Outputs Monthly'!K17:M17)</f>
        <v>1440</v>
      </c>
      <c r="J32" s="80">
        <f>SUM('Outputs Monthly'!N17:P17)</f>
        <v>990</v>
      </c>
      <c r="K32" s="81">
        <f>SUM(G32:J32)</f>
        <v>5121</v>
      </c>
      <c r="L32" s="534"/>
      <c r="M32" s="537"/>
      <c r="N32" s="540"/>
      <c r="O32" s="537"/>
      <c r="P32" s="540"/>
      <c r="Q32" s="546"/>
      <c r="R32" s="543"/>
      <c r="S32" s="549"/>
    </row>
    <row r="33" spans="1:19" customFormat="1" ht="19.5" customHeight="1" thickBot="1" x14ac:dyDescent="0.25">
      <c r="B33" s="520"/>
      <c r="C33" s="521"/>
      <c r="D33" s="113" t="s">
        <v>259</v>
      </c>
      <c r="E33" s="530"/>
      <c r="F33" s="513"/>
      <c r="G33" s="82">
        <v>1241</v>
      </c>
      <c r="H33" s="83">
        <v>1368</v>
      </c>
      <c r="I33" s="83">
        <v>1391</v>
      </c>
      <c r="J33" s="84">
        <v>948</v>
      </c>
      <c r="K33" s="85">
        <f>SUM(G33:J33)</f>
        <v>4948</v>
      </c>
      <c r="L33" s="535"/>
      <c r="M33" s="538"/>
      <c r="N33" s="541"/>
      <c r="O33" s="538"/>
      <c r="P33" s="541"/>
      <c r="Q33" s="547"/>
      <c r="R33" s="544"/>
      <c r="S33" s="550"/>
    </row>
    <row r="34" spans="1:19" customFormat="1" ht="19.5" customHeight="1" thickTop="1" thickBot="1" x14ac:dyDescent="0.25">
      <c r="B34" s="522"/>
      <c r="C34" s="523"/>
      <c r="D34" s="30" t="s">
        <v>236</v>
      </c>
      <c r="E34" s="531"/>
      <c r="F34" s="514"/>
      <c r="G34" s="86">
        <f>IF(G32=0,1,IFERROR(ROUND(G33/G32,4),0))</f>
        <v>0.96730000000000005</v>
      </c>
      <c r="H34" s="87">
        <f t="shared" ref="H34" si="29">IF(H32=0,1,IFERROR(ROUND(H33/H32,4),0))</f>
        <v>0.97160000000000002</v>
      </c>
      <c r="I34" s="87">
        <f t="shared" ref="I34" si="30">IF(I32=0,1,IFERROR(ROUND(I33/I32,4),0))</f>
        <v>0.96599999999999997</v>
      </c>
      <c r="J34" s="88">
        <f t="shared" ref="J34" si="31">IF(J32=0,1,IFERROR(ROUND(J33/J32,4),0))</f>
        <v>0.95760000000000001</v>
      </c>
      <c r="K34" s="89">
        <f t="shared" ref="K34" si="32">IF(K32=0,1,IFERROR(ROUND(K33/K32,4),0))</f>
        <v>0.96619999999999995</v>
      </c>
      <c r="L34" s="536"/>
      <c r="M34" s="539"/>
      <c r="N34" s="542"/>
      <c r="O34" s="539"/>
      <c r="P34" s="542"/>
      <c r="Q34" s="548"/>
      <c r="R34" s="545"/>
      <c r="S34" s="551"/>
    </row>
    <row r="35" spans="1:19" customFormat="1" ht="19.5" customHeight="1" x14ac:dyDescent="0.2">
      <c r="B35" s="518" t="s">
        <v>264</v>
      </c>
      <c r="C35" s="519"/>
      <c r="D35" s="114" t="s">
        <v>241</v>
      </c>
      <c r="E35" s="529">
        <v>0.8</v>
      </c>
      <c r="F35" s="512" t="s">
        <v>255</v>
      </c>
      <c r="G35" s="78">
        <f>SUM('Outputs Monthly'!E18:G18)</f>
        <v>60</v>
      </c>
      <c r="H35" s="79">
        <f>SUM('Outputs Monthly'!H18:J18)</f>
        <v>56</v>
      </c>
      <c r="I35" s="79">
        <f>SUM('Outputs Monthly'!K18:M18)</f>
        <v>51</v>
      </c>
      <c r="J35" s="80">
        <f>SUM('Outputs Monthly'!N18:P18)</f>
        <v>44</v>
      </c>
      <c r="K35" s="81">
        <f>SUM(G35:J35)</f>
        <v>211</v>
      </c>
      <c r="L35" s="534"/>
      <c r="M35" s="537"/>
      <c r="N35" s="540"/>
      <c r="O35" s="537"/>
      <c r="P35" s="540"/>
      <c r="Q35" s="546"/>
      <c r="R35" s="543"/>
      <c r="S35" s="549"/>
    </row>
    <row r="36" spans="1:19" customFormat="1" ht="19.5" customHeight="1" thickBot="1" x14ac:dyDescent="0.25">
      <c r="B36" s="520"/>
      <c r="C36" s="521"/>
      <c r="D36" s="113" t="s">
        <v>247</v>
      </c>
      <c r="E36" s="530"/>
      <c r="F36" s="513"/>
      <c r="G36" s="82">
        <v>59</v>
      </c>
      <c r="H36" s="83">
        <v>56</v>
      </c>
      <c r="I36" s="83">
        <v>51</v>
      </c>
      <c r="J36" s="84">
        <v>44</v>
      </c>
      <c r="K36" s="85">
        <f>SUM(G36:J36)</f>
        <v>210</v>
      </c>
      <c r="L36" s="535"/>
      <c r="M36" s="538"/>
      <c r="N36" s="541"/>
      <c r="O36" s="538"/>
      <c r="P36" s="541"/>
      <c r="Q36" s="547"/>
      <c r="R36" s="544"/>
      <c r="S36" s="550"/>
    </row>
    <row r="37" spans="1:19" customFormat="1" ht="15.75" customHeight="1" thickTop="1" thickBot="1" x14ac:dyDescent="0.25">
      <c r="B37" s="522"/>
      <c r="C37" s="523"/>
      <c r="D37" s="30" t="s">
        <v>236</v>
      </c>
      <c r="E37" s="531"/>
      <c r="F37" s="514"/>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0.99529999999999996</v>
      </c>
      <c r="L37" s="536"/>
      <c r="M37" s="539"/>
      <c r="N37" s="542"/>
      <c r="O37" s="539"/>
      <c r="P37" s="542"/>
      <c r="Q37" s="548"/>
      <c r="R37" s="545"/>
      <c r="S37" s="551"/>
    </row>
    <row r="38" spans="1:19" customFormat="1" ht="19.5" customHeight="1" x14ac:dyDescent="0.2">
      <c r="B38" s="518" t="s">
        <v>265</v>
      </c>
      <c r="C38" s="519"/>
      <c r="D38" s="114" t="s">
        <v>258</v>
      </c>
      <c r="E38" s="529">
        <v>0.8</v>
      </c>
      <c r="F38" s="512" t="s">
        <v>266</v>
      </c>
      <c r="G38" s="78">
        <f>SUM('Outputs Monthly'!E19:G19)</f>
        <v>10718</v>
      </c>
      <c r="H38" s="79">
        <f>SUM('Outputs Monthly'!H19:J19)</f>
        <v>14460</v>
      </c>
      <c r="I38" s="79">
        <f>SUM('Outputs Monthly'!K19:M19)</f>
        <v>15615</v>
      </c>
      <c r="J38" s="80">
        <f>SUM('Outputs Monthly'!N19:P19)</f>
        <v>9299</v>
      </c>
      <c r="K38" s="81">
        <f>SUM(G38:J38)</f>
        <v>50092</v>
      </c>
      <c r="L38" s="534"/>
      <c r="M38" s="537"/>
      <c r="N38" s="540"/>
      <c r="O38" s="537"/>
      <c r="P38" s="540"/>
      <c r="Q38" s="546"/>
      <c r="R38" s="543"/>
      <c r="S38" s="549"/>
    </row>
    <row r="39" spans="1:19" customFormat="1" ht="19.5" customHeight="1" thickBot="1" x14ac:dyDescent="0.25">
      <c r="B39" s="520"/>
      <c r="C39" s="521"/>
      <c r="D39" s="113" t="s">
        <v>267</v>
      </c>
      <c r="E39" s="530"/>
      <c r="F39" s="513"/>
      <c r="G39" s="82">
        <v>10068</v>
      </c>
      <c r="H39" s="83">
        <v>13220</v>
      </c>
      <c r="I39" s="83">
        <v>14776</v>
      </c>
      <c r="J39" s="84">
        <v>8488</v>
      </c>
      <c r="K39" s="85">
        <f>SUM(G39:J39)</f>
        <v>46552</v>
      </c>
      <c r="L39" s="535"/>
      <c r="M39" s="538"/>
      <c r="N39" s="541"/>
      <c r="O39" s="538"/>
      <c r="P39" s="541"/>
      <c r="Q39" s="547"/>
      <c r="R39" s="544"/>
      <c r="S39" s="550"/>
    </row>
    <row r="40" spans="1:19" customFormat="1" ht="19.5" customHeight="1" thickTop="1" thickBot="1" x14ac:dyDescent="0.25">
      <c r="B40" s="522"/>
      <c r="C40" s="523"/>
      <c r="D40" s="30" t="s">
        <v>236</v>
      </c>
      <c r="E40" s="531"/>
      <c r="F40" s="514"/>
      <c r="G40" s="86">
        <f>IF(G38=0,1,IFERROR(ROUND(G39/G38,4),0))</f>
        <v>0.93940000000000001</v>
      </c>
      <c r="H40" s="87">
        <f t="shared" ref="H40" si="37">IF(H38=0,1,IFERROR(ROUND(H39/H38,4),0))</f>
        <v>0.91420000000000001</v>
      </c>
      <c r="I40" s="87">
        <f t="shared" ref="I40" si="38">IF(I38=0,1,IFERROR(ROUND(I39/I38,4),0))</f>
        <v>0.94630000000000003</v>
      </c>
      <c r="J40" s="88">
        <f t="shared" ref="J40" si="39">IF(J38=0,1,IFERROR(ROUND(J39/J38,4),0))</f>
        <v>0.91279999999999994</v>
      </c>
      <c r="K40" s="89">
        <f t="shared" ref="K40" si="40">IF(K38=0,1,IFERROR(ROUND(K39/K38,4),0))</f>
        <v>0.92930000000000001</v>
      </c>
      <c r="L40" s="536"/>
      <c r="M40" s="539"/>
      <c r="N40" s="542"/>
      <c r="O40" s="539"/>
      <c r="P40" s="542"/>
      <c r="Q40" s="548"/>
      <c r="R40" s="554"/>
      <c r="S40" s="555"/>
    </row>
    <row r="41" spans="1:19" customFormat="1" ht="19.5" customHeight="1" x14ac:dyDescent="0.2"/>
    <row r="42" spans="1:19" customFormat="1" ht="19.5" customHeight="1" x14ac:dyDescent="0.2"/>
    <row r="43" spans="1:19" customFormat="1" ht="19.5" customHeight="1" thickBot="1" x14ac:dyDescent="0.25">
      <c r="A43" s="528" t="s">
        <v>268</v>
      </c>
      <c r="B43" s="528"/>
      <c r="C43" s="528"/>
      <c r="D43" s="52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4" t="s">
        <v>233</v>
      </c>
      <c r="F44" s="526"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56" t="s">
        <v>253</v>
      </c>
      <c r="L44" s="515" t="str">
        <f t="shared" ref="L44:M44" si="41">TEXT(DATE(LEFT(RIGHT($A$2,9),4),10,1),"m/d/yy")&amp;" - "&amp;TEXT(DATE(LEFT(RIGHT($A$2,9),4),12,31),"m/d/yy")</f>
        <v>10/1/24 - 12/31/24</v>
      </c>
      <c r="M44" s="516" t="str">
        <f t="shared" si="41"/>
        <v>10/1/24 - 12/31/24</v>
      </c>
      <c r="N44" s="515" t="str">
        <f t="shared" ref="N44:O44" si="42">TEXT(DATE(RIGHT($A$2,4),1,1),"m/d/yy")&amp;" - "&amp;TEXT(DATE(RIGHT($A$2,4),3,31),"m/d/yy")</f>
        <v>1/1/25 - 3/31/25</v>
      </c>
      <c r="O44" s="516" t="str">
        <f t="shared" si="42"/>
        <v>1/1/25 - 3/31/25</v>
      </c>
      <c r="P44" s="515" t="str">
        <f t="shared" ref="P44:Q44" si="43">TEXT(DATE(RIGHT($A$2,4),4,1),"m/d/yy")&amp;" - "&amp;TEXT(DATE(RIGHT($A$2,4),6,30),"m/d/yy")</f>
        <v>4/1/25 - 6/30/25</v>
      </c>
      <c r="Q44" s="517" t="str">
        <f t="shared" si="43"/>
        <v>4/1/25 - 6/30/25</v>
      </c>
      <c r="R44" s="532" t="str">
        <f t="shared" ref="R44:S44" si="44">TEXT(DATE(RIGHT($A$2,4),7,1),"m/d/yy")&amp;" - "&amp;TEXT(DATE(RIGHT($A$2,4),9,30),"m/d/yy")</f>
        <v>7/1/25 - 9/30/25</v>
      </c>
      <c r="S44" s="533" t="str">
        <f t="shared" si="44"/>
        <v>7/1/25 - 9/30/25</v>
      </c>
    </row>
    <row r="45" spans="1:19" ht="15.75" customHeight="1" thickBot="1" x14ac:dyDescent="0.25">
      <c r="B45" s="17"/>
      <c r="C45" s="552"/>
      <c r="D45" s="553"/>
      <c r="E45" s="525"/>
      <c r="F45" s="527"/>
      <c r="G45" s="170" t="s">
        <v>249</v>
      </c>
      <c r="H45" s="171" t="s">
        <v>250</v>
      </c>
      <c r="I45" s="171" t="s">
        <v>251</v>
      </c>
      <c r="J45" s="172" t="s">
        <v>252</v>
      </c>
      <c r="K45" s="557"/>
      <c r="L45" s="165" t="s">
        <v>234</v>
      </c>
      <c r="M45" s="166" t="s">
        <v>242</v>
      </c>
      <c r="N45" s="165" t="s">
        <v>234</v>
      </c>
      <c r="O45" s="166" t="s">
        <v>242</v>
      </c>
      <c r="P45" s="165" t="s">
        <v>234</v>
      </c>
      <c r="Q45" s="166" t="s">
        <v>242</v>
      </c>
      <c r="R45" s="165" t="s">
        <v>234</v>
      </c>
      <c r="S45" s="166" t="s">
        <v>242</v>
      </c>
    </row>
    <row r="46" spans="1:19" x14ac:dyDescent="0.2">
      <c r="B46" s="518" t="s">
        <v>399</v>
      </c>
      <c r="C46" s="519"/>
      <c r="D46" s="114" t="s">
        <v>243</v>
      </c>
      <c r="E46" s="529">
        <v>0.8</v>
      </c>
      <c r="F46" s="512" t="s">
        <v>256</v>
      </c>
      <c r="G46" s="39">
        <v>79766</v>
      </c>
      <c r="H46" s="40">
        <v>85451</v>
      </c>
      <c r="I46" s="40">
        <v>88108</v>
      </c>
      <c r="J46" s="41">
        <v>57433</v>
      </c>
      <c r="K46" s="29">
        <f>SUM(G46:J46)</f>
        <v>310758</v>
      </c>
      <c r="L46" s="534"/>
      <c r="M46" s="537"/>
      <c r="N46" s="540"/>
      <c r="O46" s="537"/>
      <c r="P46" s="540"/>
      <c r="Q46" s="546"/>
      <c r="R46" s="543"/>
      <c r="S46" s="549"/>
    </row>
    <row r="47" spans="1:19" ht="16.5" thickBot="1" x14ac:dyDescent="0.25">
      <c r="B47" s="520"/>
      <c r="C47" s="521"/>
      <c r="D47" s="113" t="s">
        <v>259</v>
      </c>
      <c r="E47" s="530"/>
      <c r="F47" s="513"/>
      <c r="G47" s="36">
        <v>78223</v>
      </c>
      <c r="H47" s="37">
        <v>83684</v>
      </c>
      <c r="I47" s="37">
        <v>83550</v>
      </c>
      <c r="J47" s="38">
        <v>55202</v>
      </c>
      <c r="K47" s="31">
        <f>SUM(G47:J47)</f>
        <v>300659</v>
      </c>
      <c r="L47" s="535"/>
      <c r="M47" s="538"/>
      <c r="N47" s="541"/>
      <c r="O47" s="538"/>
      <c r="P47" s="541"/>
      <c r="Q47" s="547"/>
      <c r="R47" s="544"/>
      <c r="S47" s="550"/>
    </row>
    <row r="48" spans="1:19" ht="17.25" thickTop="1" thickBot="1" x14ac:dyDescent="0.25">
      <c r="B48" s="522"/>
      <c r="C48" s="523"/>
      <c r="D48" s="30" t="s">
        <v>236</v>
      </c>
      <c r="E48" s="531"/>
      <c r="F48" s="514"/>
      <c r="G48" s="32">
        <f>IF(G46=0,1,IFERROR(ROUND(G47/G46,4),0))</f>
        <v>0.98070000000000002</v>
      </c>
      <c r="H48" s="33">
        <f t="shared" ref="H48" si="45">IF(H46=0,1,IFERROR(ROUND(H47/H46,4),0))</f>
        <v>0.97929999999999995</v>
      </c>
      <c r="I48" s="33">
        <f t="shared" ref="I48" si="46">IF(I46=0,1,IFERROR(ROUND(I47/I46,4),0))</f>
        <v>0.94830000000000003</v>
      </c>
      <c r="J48" s="34">
        <f t="shared" ref="J48" si="47">IF(J46=0,1,IFERROR(ROUND(J47/J46,4),0))</f>
        <v>0.96120000000000005</v>
      </c>
      <c r="K48" s="35">
        <f t="shared" ref="K48" si="48">IF(K46=0,1,IFERROR(ROUND(K47/K46,4),0))</f>
        <v>0.96750000000000003</v>
      </c>
      <c r="L48" s="536"/>
      <c r="M48" s="539"/>
      <c r="N48" s="542"/>
      <c r="O48" s="539"/>
      <c r="P48" s="542"/>
      <c r="Q48" s="548"/>
      <c r="R48" s="545"/>
      <c r="S48" s="551"/>
    </row>
    <row r="49" spans="1:19" x14ac:dyDescent="0.2">
      <c r="A49"/>
      <c r="B49" s="518" t="s">
        <v>398</v>
      </c>
      <c r="C49" s="519"/>
      <c r="D49" s="114" t="s">
        <v>243</v>
      </c>
      <c r="E49" s="529">
        <v>0.8</v>
      </c>
      <c r="F49" s="512" t="s">
        <v>256</v>
      </c>
      <c r="G49" s="39">
        <v>26870</v>
      </c>
      <c r="H49" s="40">
        <v>29106</v>
      </c>
      <c r="I49" s="40">
        <v>30404</v>
      </c>
      <c r="J49" s="41">
        <v>22440</v>
      </c>
      <c r="K49" s="29">
        <f>SUM(G49:J49)</f>
        <v>108820</v>
      </c>
      <c r="L49" s="534"/>
      <c r="M49" s="537"/>
      <c r="N49" s="540"/>
      <c r="O49" s="537"/>
      <c r="P49" s="540"/>
      <c r="Q49" s="546"/>
      <c r="R49" s="543"/>
      <c r="S49" s="549"/>
    </row>
    <row r="50" spans="1:19" ht="16.5" thickBot="1" x14ac:dyDescent="0.25">
      <c r="A50"/>
      <c r="B50" s="520"/>
      <c r="C50" s="521"/>
      <c r="D50" s="113" t="s">
        <v>259</v>
      </c>
      <c r="E50" s="530"/>
      <c r="F50" s="513"/>
      <c r="G50" s="36">
        <v>26215</v>
      </c>
      <c r="H50" s="37">
        <v>28163</v>
      </c>
      <c r="I50" s="37">
        <v>28067</v>
      </c>
      <c r="J50" s="38">
        <v>21474</v>
      </c>
      <c r="K50" s="31">
        <f>SUM(G50:J50)</f>
        <v>103919</v>
      </c>
      <c r="L50" s="535"/>
      <c r="M50" s="538"/>
      <c r="N50" s="541"/>
      <c r="O50" s="538"/>
      <c r="P50" s="541"/>
      <c r="Q50" s="547"/>
      <c r="R50" s="544"/>
      <c r="S50" s="550"/>
    </row>
    <row r="51" spans="1:19" ht="17.25" thickTop="1" thickBot="1" x14ac:dyDescent="0.25">
      <c r="A51"/>
      <c r="B51" s="522"/>
      <c r="C51" s="523"/>
      <c r="D51" s="30" t="s">
        <v>236</v>
      </c>
      <c r="E51" s="531"/>
      <c r="F51" s="514"/>
      <c r="G51" s="32">
        <f>IF(G49=0,1,IFERROR(ROUND(G50/G49,4),0))</f>
        <v>0.97560000000000002</v>
      </c>
      <c r="H51" s="33">
        <f t="shared" ref="H51" si="49">IF(H49=0,1,IFERROR(ROUND(H50/H49,4),0))</f>
        <v>0.96760000000000002</v>
      </c>
      <c r="I51" s="33">
        <f t="shared" ref="I51" si="50">IF(I49=0,1,IFERROR(ROUND(I50/I49,4),0))</f>
        <v>0.92310000000000003</v>
      </c>
      <c r="J51" s="34">
        <f t="shared" ref="J51" si="51">IF(J49=0,1,IFERROR(ROUND(J50/J49,4),0))</f>
        <v>0.95699999999999996</v>
      </c>
      <c r="K51" s="35">
        <f t="shared" ref="K51" si="52">IF(K49=0,1,IFERROR(ROUND(K50/K49,4),0))</f>
        <v>0.95499999999999996</v>
      </c>
      <c r="L51" s="536"/>
      <c r="M51" s="539"/>
      <c r="N51" s="542"/>
      <c r="O51" s="539"/>
      <c r="P51" s="542"/>
      <c r="Q51" s="548"/>
      <c r="R51" s="545"/>
      <c r="S51" s="551"/>
    </row>
    <row r="52" spans="1:19" x14ac:dyDescent="0.2">
      <c r="A52"/>
      <c r="B52" s="518" t="s">
        <v>400</v>
      </c>
      <c r="C52" s="519"/>
      <c r="D52" s="114" t="s">
        <v>243</v>
      </c>
      <c r="E52" s="529">
        <v>0.8</v>
      </c>
      <c r="F52" s="512" t="s">
        <v>256</v>
      </c>
      <c r="G52" s="39">
        <v>6422</v>
      </c>
      <c r="H52" s="40">
        <v>6611</v>
      </c>
      <c r="I52" s="40">
        <v>7238</v>
      </c>
      <c r="J52" s="41">
        <v>4061</v>
      </c>
      <c r="K52" s="29">
        <f>SUM(G52:J52)</f>
        <v>24332</v>
      </c>
      <c r="L52" s="534"/>
      <c r="M52" s="537"/>
      <c r="N52" s="540"/>
      <c r="O52" s="537"/>
      <c r="P52" s="540"/>
      <c r="Q52" s="546"/>
      <c r="R52" s="543"/>
      <c r="S52" s="549"/>
    </row>
    <row r="53" spans="1:19" ht="16.5" thickBot="1" x14ac:dyDescent="0.25">
      <c r="A53"/>
      <c r="B53" s="520"/>
      <c r="C53" s="521"/>
      <c r="D53" s="113" t="s">
        <v>259</v>
      </c>
      <c r="E53" s="530"/>
      <c r="F53" s="513"/>
      <c r="G53" s="36">
        <v>6397</v>
      </c>
      <c r="H53" s="37">
        <v>6594</v>
      </c>
      <c r="I53" s="37">
        <v>7143</v>
      </c>
      <c r="J53" s="38">
        <v>4041</v>
      </c>
      <c r="K53" s="31">
        <f>SUM(G53:J53)</f>
        <v>24175</v>
      </c>
      <c r="L53" s="535"/>
      <c r="M53" s="538"/>
      <c r="N53" s="541"/>
      <c r="O53" s="538"/>
      <c r="P53" s="541"/>
      <c r="Q53" s="547"/>
      <c r="R53" s="544"/>
      <c r="S53" s="550"/>
    </row>
    <row r="54" spans="1:19" ht="17.25" thickTop="1" thickBot="1" x14ac:dyDescent="0.25">
      <c r="A54"/>
      <c r="B54" s="522"/>
      <c r="C54" s="523"/>
      <c r="D54" s="30" t="s">
        <v>236</v>
      </c>
      <c r="E54" s="531"/>
      <c r="F54" s="514"/>
      <c r="G54" s="32">
        <f>IF(G52=0,1,IFERROR(ROUND(G53/G52,4),0))</f>
        <v>0.99609999999999999</v>
      </c>
      <c r="H54" s="33">
        <f t="shared" ref="H54" si="53">IF(H52=0,1,IFERROR(ROUND(H53/H52,4),0))</f>
        <v>0.99739999999999995</v>
      </c>
      <c r="I54" s="33">
        <f t="shared" ref="I54" si="54">IF(I52=0,1,IFERROR(ROUND(I53/I52,4),0))</f>
        <v>0.9869</v>
      </c>
      <c r="J54" s="34">
        <f t="shared" ref="J54" si="55">IF(J52=0,1,IFERROR(ROUND(J53/J52,4),0))</f>
        <v>0.99509999999999998</v>
      </c>
      <c r="K54" s="35">
        <f t="shared" ref="K54" si="56">IF(K52=0,1,IFERROR(ROUND(K53/K52,4),0))</f>
        <v>0.99350000000000005</v>
      </c>
      <c r="L54" s="536"/>
      <c r="M54" s="539"/>
      <c r="N54" s="542"/>
      <c r="O54" s="539"/>
      <c r="P54" s="542"/>
      <c r="Q54" s="548"/>
      <c r="R54" s="545"/>
      <c r="S54" s="551"/>
    </row>
    <row r="55" spans="1:19" x14ac:dyDescent="0.2">
      <c r="A55"/>
      <c r="B55" s="518" t="s">
        <v>257</v>
      </c>
      <c r="C55" s="519"/>
      <c r="D55" s="114" t="s">
        <v>243</v>
      </c>
      <c r="E55" s="529">
        <v>0.8</v>
      </c>
      <c r="F55" s="512" t="s">
        <v>256</v>
      </c>
      <c r="G55" s="39">
        <v>13946</v>
      </c>
      <c r="H55" s="40">
        <v>14928</v>
      </c>
      <c r="I55" s="40">
        <v>15508</v>
      </c>
      <c r="J55" s="41">
        <v>10099</v>
      </c>
      <c r="K55" s="29">
        <f>SUM(G55:J55)</f>
        <v>54481</v>
      </c>
      <c r="L55" s="534"/>
      <c r="M55" s="537"/>
      <c r="N55" s="540"/>
      <c r="O55" s="537"/>
      <c r="P55" s="540"/>
      <c r="Q55" s="546"/>
      <c r="R55" s="543"/>
      <c r="S55" s="549"/>
    </row>
    <row r="56" spans="1:19" ht="16.5" thickBot="1" x14ac:dyDescent="0.25">
      <c r="A56"/>
      <c r="B56" s="520"/>
      <c r="C56" s="521"/>
      <c r="D56" s="113" t="s">
        <v>259</v>
      </c>
      <c r="E56" s="530"/>
      <c r="F56" s="513"/>
      <c r="G56" s="36">
        <v>13127</v>
      </c>
      <c r="H56" s="37">
        <v>13813</v>
      </c>
      <c r="I56" s="37">
        <v>13863</v>
      </c>
      <c r="J56" s="38">
        <v>9175</v>
      </c>
      <c r="K56" s="31">
        <f>SUM(G56:J56)</f>
        <v>49978</v>
      </c>
      <c r="L56" s="535"/>
      <c r="M56" s="538"/>
      <c r="N56" s="541"/>
      <c r="O56" s="538"/>
      <c r="P56" s="541"/>
      <c r="Q56" s="547"/>
      <c r="R56" s="544"/>
      <c r="S56" s="550"/>
    </row>
    <row r="57" spans="1:19" ht="17.25" thickTop="1" thickBot="1" x14ac:dyDescent="0.25">
      <c r="A57"/>
      <c r="B57" s="522"/>
      <c r="C57" s="523"/>
      <c r="D57" s="30" t="s">
        <v>236</v>
      </c>
      <c r="E57" s="531"/>
      <c r="F57" s="514"/>
      <c r="G57" s="32">
        <f>IF(G55=0,1,IFERROR(ROUND(G56/G55,4),0))</f>
        <v>0.94130000000000003</v>
      </c>
      <c r="H57" s="33">
        <f t="shared" ref="H57" si="57">IF(H55=0,1,IFERROR(ROUND(H56/H55,4),0))</f>
        <v>0.92530000000000001</v>
      </c>
      <c r="I57" s="33">
        <f t="shared" ref="I57" si="58">IF(I55=0,1,IFERROR(ROUND(I56/I55,4),0))</f>
        <v>0.89390000000000003</v>
      </c>
      <c r="J57" s="34">
        <f t="shared" ref="J57" si="59">IF(J55=0,1,IFERROR(ROUND(J56/J55,4),0))</f>
        <v>0.90849999999999997</v>
      </c>
      <c r="K57" s="35">
        <f t="shared" ref="K57" si="60">IF(K55=0,1,IFERROR(ROUND(K56/K55,4),0))</f>
        <v>0.9173</v>
      </c>
      <c r="L57" s="536"/>
      <c r="M57" s="539"/>
      <c r="N57" s="542"/>
      <c r="O57" s="539"/>
      <c r="P57" s="542"/>
      <c r="Q57" s="548"/>
      <c r="R57" s="545"/>
      <c r="S57" s="551"/>
    </row>
    <row r="58" spans="1:19" x14ac:dyDescent="0.2">
      <c r="A58"/>
      <c r="B58" s="518" t="s">
        <v>260</v>
      </c>
      <c r="C58" s="519"/>
      <c r="D58" s="114" t="s">
        <v>243</v>
      </c>
      <c r="E58" s="529">
        <v>0.8</v>
      </c>
      <c r="F58" s="512" t="s">
        <v>256</v>
      </c>
      <c r="G58" s="39">
        <v>55373</v>
      </c>
      <c r="H58" s="40">
        <v>60622</v>
      </c>
      <c r="I58" s="40">
        <v>59913</v>
      </c>
      <c r="J58" s="41">
        <v>39172</v>
      </c>
      <c r="K58" s="29">
        <f>SUM(G58:J58)</f>
        <v>215080</v>
      </c>
      <c r="L58" s="534"/>
      <c r="M58" s="537"/>
      <c r="N58" s="540"/>
      <c r="O58" s="537"/>
      <c r="P58" s="540"/>
      <c r="Q58" s="546"/>
      <c r="R58" s="543"/>
      <c r="S58" s="549"/>
    </row>
    <row r="59" spans="1:19" ht="16.5" thickBot="1" x14ac:dyDescent="0.25">
      <c r="A59"/>
      <c r="B59" s="520"/>
      <c r="C59" s="521"/>
      <c r="D59" s="113" t="s">
        <v>259</v>
      </c>
      <c r="E59" s="530"/>
      <c r="F59" s="513"/>
      <c r="G59" s="36">
        <v>52718</v>
      </c>
      <c r="H59" s="37">
        <v>54951</v>
      </c>
      <c r="I59" s="37">
        <v>59387</v>
      </c>
      <c r="J59" s="38">
        <v>38712</v>
      </c>
      <c r="K59" s="31">
        <f>SUM(G59:J59)</f>
        <v>205768</v>
      </c>
      <c r="L59" s="535"/>
      <c r="M59" s="538"/>
      <c r="N59" s="541"/>
      <c r="O59" s="538"/>
      <c r="P59" s="541"/>
      <c r="Q59" s="547"/>
      <c r="R59" s="544"/>
      <c r="S59" s="550"/>
    </row>
    <row r="60" spans="1:19" ht="17.25" thickTop="1" thickBot="1" x14ac:dyDescent="0.25">
      <c r="A60"/>
      <c r="B60" s="522"/>
      <c r="C60" s="523"/>
      <c r="D60" s="30" t="s">
        <v>236</v>
      </c>
      <c r="E60" s="531"/>
      <c r="F60" s="514"/>
      <c r="G60" s="32">
        <f>IF(G58=0,1,IFERROR(ROUND(G59/G58,4),0))</f>
        <v>0.95209999999999995</v>
      </c>
      <c r="H60" s="33">
        <f t="shared" ref="H60" si="61">IF(H58=0,1,IFERROR(ROUND(H59/H58,4),0))</f>
        <v>0.90649999999999997</v>
      </c>
      <c r="I60" s="33">
        <f t="shared" ref="I60" si="62">IF(I58=0,1,IFERROR(ROUND(I59/I58,4),0))</f>
        <v>0.99119999999999997</v>
      </c>
      <c r="J60" s="34">
        <f t="shared" ref="J60" si="63">IF(J58=0,1,IFERROR(ROUND(J59/J58,4),0))</f>
        <v>0.98829999999999996</v>
      </c>
      <c r="K60" s="35">
        <f t="shared" ref="K60" si="64">IF(K58=0,1,IFERROR(ROUND(K59/K58,4),0))</f>
        <v>0.95669999999999999</v>
      </c>
      <c r="L60" s="536"/>
      <c r="M60" s="539"/>
      <c r="N60" s="542"/>
      <c r="O60" s="539"/>
      <c r="P60" s="542"/>
      <c r="Q60" s="548"/>
      <c r="R60" s="545"/>
      <c r="S60" s="551"/>
    </row>
    <row r="61" spans="1:19" x14ac:dyDescent="0.2">
      <c r="A61"/>
      <c r="B61" s="518" t="s">
        <v>261</v>
      </c>
      <c r="C61" s="519"/>
      <c r="D61" s="114" t="s">
        <v>243</v>
      </c>
      <c r="E61" s="529">
        <v>0.8</v>
      </c>
      <c r="F61" s="512" t="s">
        <v>256</v>
      </c>
      <c r="G61" s="39">
        <v>54015</v>
      </c>
      <c r="H61" s="40">
        <v>56548</v>
      </c>
      <c r="I61" s="40">
        <v>61615</v>
      </c>
      <c r="J61" s="41">
        <v>44909</v>
      </c>
      <c r="K61" s="29">
        <f>SUM(G61:J61)</f>
        <v>217087</v>
      </c>
      <c r="L61" s="534"/>
      <c r="M61" s="537"/>
      <c r="N61" s="540" t="s">
        <v>235</v>
      </c>
      <c r="O61" s="537" t="s">
        <v>1912</v>
      </c>
      <c r="P61" s="540"/>
      <c r="Q61" s="546"/>
      <c r="R61" s="543"/>
      <c r="S61" s="549"/>
    </row>
    <row r="62" spans="1:19" ht="16.5" thickBot="1" x14ac:dyDescent="0.25">
      <c r="A62"/>
      <c r="B62" s="520"/>
      <c r="C62" s="521"/>
      <c r="D62" s="113" t="s">
        <v>259</v>
      </c>
      <c r="E62" s="530"/>
      <c r="F62" s="513"/>
      <c r="G62" s="36">
        <v>48302</v>
      </c>
      <c r="H62" s="37">
        <v>42352</v>
      </c>
      <c r="I62" s="37">
        <v>61136</v>
      </c>
      <c r="J62" s="38">
        <v>43152</v>
      </c>
      <c r="K62" s="31">
        <f>SUM(G62:J62)</f>
        <v>194942</v>
      </c>
      <c r="L62" s="535"/>
      <c r="M62" s="538"/>
      <c r="N62" s="541"/>
      <c r="O62" s="538"/>
      <c r="P62" s="541"/>
      <c r="Q62" s="547"/>
      <c r="R62" s="544"/>
      <c r="S62" s="550"/>
    </row>
    <row r="63" spans="1:19" ht="17.25" thickTop="1" thickBot="1" x14ac:dyDescent="0.25">
      <c r="A63"/>
      <c r="B63" s="522"/>
      <c r="C63" s="523"/>
      <c r="D63" s="30" t="s">
        <v>236</v>
      </c>
      <c r="E63" s="531"/>
      <c r="F63" s="514"/>
      <c r="G63" s="32">
        <f>IF(G61=0,1,IFERROR(ROUND(G62/G61,4),0))</f>
        <v>0.89419999999999999</v>
      </c>
      <c r="H63" s="33">
        <f t="shared" ref="H63" si="65">IF(H61=0,1,IFERROR(ROUND(H62/H61,4),0))</f>
        <v>0.749</v>
      </c>
      <c r="I63" s="33">
        <f t="shared" ref="I63" si="66">IF(I61=0,1,IFERROR(ROUND(I62/I61,4),0))</f>
        <v>0.99219999999999997</v>
      </c>
      <c r="J63" s="34">
        <f t="shared" ref="J63" si="67">IF(J61=0,1,IFERROR(ROUND(J62/J61,4),0))</f>
        <v>0.96089999999999998</v>
      </c>
      <c r="K63" s="35">
        <f t="shared" ref="K63" si="68">IF(K61=0,1,IFERROR(ROUND(K62/K61,4),0))</f>
        <v>0.89800000000000002</v>
      </c>
      <c r="L63" s="536"/>
      <c r="M63" s="539"/>
      <c r="N63" s="542"/>
      <c r="O63" s="539"/>
      <c r="P63" s="542"/>
      <c r="Q63" s="548"/>
      <c r="R63" s="545"/>
      <c r="S63" s="551"/>
    </row>
    <row r="64" spans="1:19" x14ac:dyDescent="0.2">
      <c r="A64"/>
      <c r="B64" s="518" t="s">
        <v>262</v>
      </c>
      <c r="C64" s="519"/>
      <c r="D64" s="114" t="s">
        <v>243</v>
      </c>
      <c r="E64" s="529">
        <v>0.8</v>
      </c>
      <c r="F64" s="512" t="s">
        <v>256</v>
      </c>
      <c r="G64" s="39">
        <v>22630</v>
      </c>
      <c r="H64" s="40">
        <v>25363</v>
      </c>
      <c r="I64" s="40">
        <v>25072</v>
      </c>
      <c r="J64" s="41">
        <v>16869</v>
      </c>
      <c r="K64" s="29">
        <f>SUM(G64:J64)</f>
        <v>89934</v>
      </c>
      <c r="L64" s="534"/>
      <c r="M64" s="537"/>
      <c r="N64" s="540"/>
      <c r="O64" s="537"/>
      <c r="P64" s="540" t="s">
        <v>235</v>
      </c>
      <c r="Q64" s="546" t="s">
        <v>1912</v>
      </c>
      <c r="R64" s="543" t="s">
        <v>235</v>
      </c>
      <c r="S64" s="549" t="s">
        <v>1912</v>
      </c>
    </row>
    <row r="65" spans="1:19" ht="16.5" thickBot="1" x14ac:dyDescent="0.25">
      <c r="A65"/>
      <c r="B65" s="520"/>
      <c r="C65" s="521"/>
      <c r="D65" s="113" t="s">
        <v>259</v>
      </c>
      <c r="E65" s="530"/>
      <c r="F65" s="513"/>
      <c r="G65" s="36">
        <v>18388</v>
      </c>
      <c r="H65" s="37">
        <v>22200</v>
      </c>
      <c r="I65" s="37">
        <v>12209</v>
      </c>
      <c r="J65" s="38">
        <v>11530</v>
      </c>
      <c r="K65" s="31">
        <f>SUM(G65:J65)</f>
        <v>64327</v>
      </c>
      <c r="L65" s="535"/>
      <c r="M65" s="538"/>
      <c r="N65" s="541"/>
      <c r="O65" s="538"/>
      <c r="P65" s="541"/>
      <c r="Q65" s="547"/>
      <c r="R65" s="544"/>
      <c r="S65" s="550"/>
    </row>
    <row r="66" spans="1:19" ht="17.25" thickTop="1" thickBot="1" x14ac:dyDescent="0.25">
      <c r="A66"/>
      <c r="B66" s="522"/>
      <c r="C66" s="523"/>
      <c r="D66" s="30" t="s">
        <v>236</v>
      </c>
      <c r="E66" s="531"/>
      <c r="F66" s="514"/>
      <c r="G66" s="32">
        <f>IF(G64=0,1,IFERROR(ROUND(G65/G64,4),0))</f>
        <v>0.8125</v>
      </c>
      <c r="H66" s="33">
        <f t="shared" ref="H66" si="69">IF(H64=0,1,IFERROR(ROUND(H65/H64,4),0))</f>
        <v>0.87529999999999997</v>
      </c>
      <c r="I66" s="33">
        <f t="shared" ref="I66" si="70">IF(I64=0,1,IFERROR(ROUND(I65/I64,4),0))</f>
        <v>0.48699999999999999</v>
      </c>
      <c r="J66" s="34">
        <f t="shared" ref="J66" si="71">IF(J64=0,1,IFERROR(ROUND(J65/J64,4),0))</f>
        <v>0.6835</v>
      </c>
      <c r="K66" s="35">
        <f t="shared" ref="K66" si="72">IF(K64=0,1,IFERROR(ROUND(K65/K64,4),0))</f>
        <v>0.71530000000000005</v>
      </c>
      <c r="L66" s="536"/>
      <c r="M66" s="539"/>
      <c r="N66" s="542"/>
      <c r="O66" s="539"/>
      <c r="P66" s="542"/>
      <c r="Q66" s="548"/>
      <c r="R66" s="545"/>
      <c r="S66" s="551"/>
    </row>
    <row r="67" spans="1:19" x14ac:dyDescent="0.2">
      <c r="A67"/>
      <c r="B67" s="518" t="s">
        <v>263</v>
      </c>
      <c r="C67" s="519"/>
      <c r="D67" s="114" t="s">
        <v>243</v>
      </c>
      <c r="E67" s="529">
        <v>0.8</v>
      </c>
      <c r="F67" s="512" t="s">
        <v>256</v>
      </c>
      <c r="G67" s="39">
        <v>33890</v>
      </c>
      <c r="H67" s="40">
        <v>38292</v>
      </c>
      <c r="I67" s="40">
        <v>40272</v>
      </c>
      <c r="J67" s="41">
        <v>27997</v>
      </c>
      <c r="K67" s="29">
        <f>SUM(G67:J67)</f>
        <v>140451</v>
      </c>
      <c r="L67" s="534"/>
      <c r="M67" s="537"/>
      <c r="N67" s="540"/>
      <c r="O67" s="537"/>
      <c r="P67" s="540"/>
      <c r="Q67" s="546"/>
      <c r="R67" s="543"/>
      <c r="S67" s="549"/>
    </row>
    <row r="68" spans="1:19" ht="16.5" thickBot="1" x14ac:dyDescent="0.25">
      <c r="A68"/>
      <c r="B68" s="520"/>
      <c r="C68" s="521"/>
      <c r="D68" s="113" t="s">
        <v>259</v>
      </c>
      <c r="E68" s="530"/>
      <c r="F68" s="513"/>
      <c r="G68" s="36">
        <v>32620</v>
      </c>
      <c r="H68" s="37">
        <v>37066</v>
      </c>
      <c r="I68" s="37">
        <v>38899</v>
      </c>
      <c r="J68" s="38">
        <v>27157</v>
      </c>
      <c r="K68" s="31">
        <f>SUM(G68:J68)</f>
        <v>135742</v>
      </c>
      <c r="L68" s="535"/>
      <c r="M68" s="538"/>
      <c r="N68" s="541"/>
      <c r="O68" s="538"/>
      <c r="P68" s="541"/>
      <c r="Q68" s="547"/>
      <c r="R68" s="544"/>
      <c r="S68" s="550"/>
    </row>
    <row r="69" spans="1:19" ht="17.25" thickTop="1" thickBot="1" x14ac:dyDescent="0.25">
      <c r="A69"/>
      <c r="B69" s="522"/>
      <c r="C69" s="523"/>
      <c r="D69" s="30" t="s">
        <v>236</v>
      </c>
      <c r="E69" s="531"/>
      <c r="F69" s="514"/>
      <c r="G69" s="32">
        <f>IF(G67=0,1,IFERROR(ROUND(G68/G67,4),0))</f>
        <v>0.96250000000000002</v>
      </c>
      <c r="H69" s="33">
        <f t="shared" ref="H69" si="73">IF(H67=0,1,IFERROR(ROUND(H68/H67,4),0))</f>
        <v>0.96799999999999997</v>
      </c>
      <c r="I69" s="33">
        <f t="shared" ref="I69" si="74">IF(I67=0,1,IFERROR(ROUND(I68/I67,4),0))</f>
        <v>0.96589999999999998</v>
      </c>
      <c r="J69" s="34">
        <f t="shared" ref="J69" si="75">IF(J67=0,1,IFERROR(ROUND(J68/J67,4),0))</f>
        <v>0.97</v>
      </c>
      <c r="K69" s="35">
        <f t="shared" ref="K69" si="76">IF(K67=0,1,IFERROR(ROUND(K68/K67,4),0))</f>
        <v>0.96650000000000003</v>
      </c>
      <c r="L69" s="536"/>
      <c r="M69" s="539"/>
      <c r="N69" s="542"/>
      <c r="O69" s="539"/>
      <c r="P69" s="542"/>
      <c r="Q69" s="548"/>
      <c r="R69" s="545"/>
      <c r="S69" s="551"/>
    </row>
    <row r="70" spans="1:19" x14ac:dyDescent="0.2">
      <c r="A70"/>
      <c r="B70" s="518" t="s">
        <v>264</v>
      </c>
      <c r="C70" s="519"/>
      <c r="D70" s="114" t="s">
        <v>243</v>
      </c>
      <c r="E70" s="529">
        <v>0.8</v>
      </c>
      <c r="F70" s="512" t="s">
        <v>256</v>
      </c>
      <c r="G70" s="39">
        <v>831</v>
      </c>
      <c r="H70" s="40">
        <v>850</v>
      </c>
      <c r="I70" s="40">
        <v>692</v>
      </c>
      <c r="J70" s="41">
        <v>606</v>
      </c>
      <c r="K70" s="29">
        <f>SUM(G70:J70)</f>
        <v>2979</v>
      </c>
      <c r="L70" s="534"/>
      <c r="M70" s="537"/>
      <c r="N70" s="540"/>
      <c r="O70" s="537"/>
      <c r="P70" s="540"/>
      <c r="Q70" s="546"/>
      <c r="R70" s="543"/>
      <c r="S70" s="549"/>
    </row>
    <row r="71" spans="1:19" ht="16.5" thickBot="1" x14ac:dyDescent="0.25">
      <c r="A71"/>
      <c r="B71" s="520"/>
      <c r="C71" s="521"/>
      <c r="D71" s="113" t="s">
        <v>259</v>
      </c>
      <c r="E71" s="530"/>
      <c r="F71" s="513"/>
      <c r="G71" s="36">
        <v>801</v>
      </c>
      <c r="H71" s="37">
        <v>835</v>
      </c>
      <c r="I71" s="37">
        <v>690</v>
      </c>
      <c r="J71" s="38">
        <v>597</v>
      </c>
      <c r="K71" s="31">
        <f>SUM(G71:J71)</f>
        <v>2923</v>
      </c>
      <c r="L71" s="535"/>
      <c r="M71" s="538"/>
      <c r="N71" s="541"/>
      <c r="O71" s="538"/>
      <c r="P71" s="541"/>
      <c r="Q71" s="547"/>
      <c r="R71" s="544"/>
      <c r="S71" s="550"/>
    </row>
    <row r="72" spans="1:19" ht="17.25" thickTop="1" thickBot="1" x14ac:dyDescent="0.25">
      <c r="A72"/>
      <c r="B72" s="522"/>
      <c r="C72" s="523"/>
      <c r="D72" s="30" t="s">
        <v>236</v>
      </c>
      <c r="E72" s="531"/>
      <c r="F72" s="514"/>
      <c r="G72" s="32">
        <f>IF(G70=0,1,IFERROR(ROUND(G71/G70,4),0))</f>
        <v>0.96389999999999998</v>
      </c>
      <c r="H72" s="33">
        <f t="shared" ref="H72" si="77">IF(H70=0,1,IFERROR(ROUND(H71/H70,4),0))</f>
        <v>0.98240000000000005</v>
      </c>
      <c r="I72" s="33">
        <f t="shared" ref="I72" si="78">IF(I70=0,1,IFERROR(ROUND(I71/I70,4),0))</f>
        <v>0.99709999999999999</v>
      </c>
      <c r="J72" s="34">
        <f t="shared" ref="J72" si="79">IF(J70=0,1,IFERROR(ROUND(J71/J70,4),0))</f>
        <v>0.98509999999999998</v>
      </c>
      <c r="K72" s="35">
        <f t="shared" ref="K72" si="80">IF(K70=0,1,IFERROR(ROUND(K71/K70,4),0))</f>
        <v>0.98119999999999996</v>
      </c>
      <c r="L72" s="536"/>
      <c r="M72" s="539"/>
      <c r="N72" s="542"/>
      <c r="O72" s="539"/>
      <c r="P72" s="542"/>
      <c r="Q72" s="548"/>
      <c r="R72" s="545"/>
      <c r="S72" s="551"/>
    </row>
    <row r="73" spans="1:19" x14ac:dyDescent="0.2">
      <c r="A73"/>
      <c r="B73" s="518" t="s">
        <v>265</v>
      </c>
      <c r="C73" s="519"/>
      <c r="D73" s="114" t="s">
        <v>243</v>
      </c>
      <c r="E73" s="529">
        <v>0.8</v>
      </c>
      <c r="F73" s="512" t="s">
        <v>266</v>
      </c>
      <c r="G73" s="39">
        <v>34134</v>
      </c>
      <c r="H73" s="40">
        <v>43685</v>
      </c>
      <c r="I73" s="40">
        <v>46577</v>
      </c>
      <c r="J73" s="41">
        <v>30779</v>
      </c>
      <c r="K73" s="29">
        <f>SUM(G73:J73)</f>
        <v>155175</v>
      </c>
      <c r="L73" s="534"/>
      <c r="M73" s="537"/>
      <c r="N73" s="540"/>
      <c r="O73" s="537"/>
      <c r="P73" s="540"/>
      <c r="Q73" s="546"/>
      <c r="R73" s="543"/>
      <c r="S73" s="549"/>
    </row>
    <row r="74" spans="1:19" ht="16.5" thickBot="1" x14ac:dyDescent="0.25">
      <c r="A74"/>
      <c r="B74" s="520"/>
      <c r="C74" s="521"/>
      <c r="D74" s="113" t="s">
        <v>267</v>
      </c>
      <c r="E74" s="530"/>
      <c r="F74" s="513"/>
      <c r="G74" s="36">
        <v>33108</v>
      </c>
      <c r="H74" s="37">
        <v>41645</v>
      </c>
      <c r="I74" s="37">
        <v>45218</v>
      </c>
      <c r="J74" s="38">
        <v>29191</v>
      </c>
      <c r="K74" s="31">
        <f>SUM(G74:J74)</f>
        <v>149162</v>
      </c>
      <c r="L74" s="535"/>
      <c r="M74" s="538"/>
      <c r="N74" s="541"/>
      <c r="O74" s="538"/>
      <c r="P74" s="541"/>
      <c r="Q74" s="547"/>
      <c r="R74" s="544"/>
      <c r="S74" s="550"/>
    </row>
    <row r="75" spans="1:19" ht="17.25" thickTop="1" thickBot="1" x14ac:dyDescent="0.25">
      <c r="A75"/>
      <c r="B75" s="522"/>
      <c r="C75" s="523"/>
      <c r="D75" s="30" t="s">
        <v>236</v>
      </c>
      <c r="E75" s="531"/>
      <c r="F75" s="514"/>
      <c r="G75" s="32">
        <f>IF(G73=0,1,IFERROR(ROUND(G74/G73,4),0))</f>
        <v>0.96989999999999998</v>
      </c>
      <c r="H75" s="33">
        <f t="shared" ref="H75" si="81">IF(H73=0,1,IFERROR(ROUND(H74/H73,4),0))</f>
        <v>0.95330000000000004</v>
      </c>
      <c r="I75" s="33">
        <f t="shared" ref="I75" si="82">IF(I73=0,1,IFERROR(ROUND(I74/I73,4),0))</f>
        <v>0.9708</v>
      </c>
      <c r="J75" s="34">
        <f t="shared" ref="J75" si="83">IF(J73=0,1,IFERROR(ROUND(J74/J73,4),0))</f>
        <v>0.94840000000000002</v>
      </c>
      <c r="K75" s="35">
        <f t="shared" ref="K75" si="84">IF(K73=0,1,IFERROR(ROUND(K74/K73,4),0))</f>
        <v>0.96130000000000004</v>
      </c>
      <c r="L75" s="536"/>
      <c r="M75" s="539"/>
      <c r="N75" s="542"/>
      <c r="O75" s="539"/>
      <c r="P75" s="542"/>
      <c r="Q75" s="548"/>
      <c r="R75" s="554"/>
      <c r="S75" s="55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6" t="s">
        <v>1906</v>
      </c>
      <c r="B1" s="476"/>
      <c r="C1" s="476"/>
      <c r="D1" s="476"/>
      <c r="E1" s="476"/>
      <c r="F1" s="476"/>
    </row>
    <row r="2" spans="1:19" ht="24" customHeight="1" x14ac:dyDescent="0.2">
      <c r="A2" s="476" t="str">
        <f>'Subcases Monthly'!A2</f>
        <v>County Fiscal Year 2024-2025</v>
      </c>
      <c r="B2" s="476"/>
      <c r="C2" s="476"/>
      <c r="D2" s="476"/>
    </row>
    <row r="3" spans="1:19" ht="24" customHeight="1" x14ac:dyDescent="0.2">
      <c r="N3"/>
      <c r="O3"/>
    </row>
    <row r="4" spans="1:19" ht="24" customHeight="1" x14ac:dyDescent="0.2">
      <c r="A4" s="6"/>
      <c r="C4" s="21" t="s">
        <v>2</v>
      </c>
      <c r="D4" s="499" t="str">
        <f>IF('Subcases Monthly'!D4="","",'Subcases Monthly'!D4)</f>
        <v>Brevard</v>
      </c>
      <c r="E4" s="499"/>
      <c r="F4" s="6"/>
      <c r="G4" s="21" t="s">
        <v>226</v>
      </c>
      <c r="H4" s="499" t="str">
        <f>IF('Subcases Monthly'!H4="","",'Subcases Monthly'!H4)</f>
        <v>August</v>
      </c>
      <c r="I4" s="499"/>
      <c r="K4" s="21" t="s">
        <v>3</v>
      </c>
      <c r="L4" s="91">
        <f>IF('Subcases Monthly'!L4="","",'Subcases Monthly'!L4)</f>
        <v>1</v>
      </c>
      <c r="N4"/>
      <c r="O4"/>
      <c r="Q4" s="484" t="str">
        <f>'Subcases Monthly'!Q4</f>
        <v>CCOC Form Version 1
Created: 11/11/2024</v>
      </c>
      <c r="R4" s="484"/>
    </row>
    <row r="5" spans="1:19" ht="24" customHeight="1" x14ac:dyDescent="0.3">
      <c r="A5" s="6"/>
      <c r="C5" s="21" t="s">
        <v>73</v>
      </c>
      <c r="D5" s="500" t="str">
        <f>IF('Subcases Monthly'!D5="","",'Subcases Monthly'!D5)</f>
        <v xml:space="preserve">Carol Vail </v>
      </c>
      <c r="E5" s="500"/>
      <c r="F5" s="6"/>
      <c r="N5" s="7"/>
      <c r="Q5" s="484"/>
      <c r="R5" s="484"/>
    </row>
    <row r="6" spans="1:19" ht="24" customHeight="1" x14ac:dyDescent="0.3">
      <c r="A6" s="6"/>
      <c r="C6" s="21" t="s">
        <v>84</v>
      </c>
      <c r="D6" s="499" t="str">
        <f>IF('Subcases Monthly'!D6="","",'Subcases Monthly'!D6)</f>
        <v>carol.vail@brevardclerk.us</v>
      </c>
      <c r="E6" s="499"/>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0" t="s">
        <v>376</v>
      </c>
      <c r="F9" s="481"/>
      <c r="G9" s="481"/>
      <c r="H9" s="481"/>
      <c r="I9" s="481"/>
      <c r="J9" s="481"/>
      <c r="K9" s="481"/>
      <c r="L9" s="481"/>
      <c r="M9" s="481"/>
      <c r="N9" s="481"/>
      <c r="O9" s="481"/>
      <c r="P9" s="482"/>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4" t="str">
        <f>'Subcases Monthly'!C11:D11</f>
        <v>Felony Cases (SRS)</v>
      </c>
      <c r="D11" s="475"/>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4232</v>
      </c>
      <c r="K11" s="225">
        <f>IF('Subcases Monthly'!K11="","",('Subcases Monthly'!K11*'Subcases Weighted Total (Auto)'!$R11))</f>
        <v>4456</v>
      </c>
      <c r="L11" s="225">
        <f>IF('Subcases Monthly'!L11="","",('Subcases Monthly'!L11*'Subcases Weighted Total (Auto)'!$R11))</f>
        <v>4552</v>
      </c>
      <c r="M11" s="225">
        <f>IF('Subcases Monthly'!M11="","",('Subcases Monthly'!M11*'Subcases Weighted Total (Auto)'!$R11))</f>
        <v>4256</v>
      </c>
      <c r="N11" s="225">
        <f>IF('Subcases Monthly'!N11="","",('Subcases Monthly'!N11*'Subcases Weighted Total (Auto)'!$R11))</f>
        <v>4984</v>
      </c>
      <c r="O11" s="225">
        <f>IF('Subcases Monthly'!O11="","",('Subcases Monthly'!O11*'Subcases Weighted Total (Auto)'!$R11))</f>
        <v>4616</v>
      </c>
      <c r="P11" s="226">
        <f>IF('Subcases Monthly'!P11="","",('Subcases Monthly'!P11*'Subcases Weighted Total (Auto)'!$R11))</f>
        <v>0</v>
      </c>
      <c r="Q11" s="74">
        <f t="shared" ref="Q11:Q15" si="1">SUM(E11:P11)</f>
        <v>47224</v>
      </c>
      <c r="R11" s="229">
        <f>LookupData!$A$90</f>
        <v>8</v>
      </c>
      <c r="S11" s="4"/>
    </row>
    <row r="12" spans="1:19" ht="20.100000000000001" customHeight="1" x14ac:dyDescent="0.2">
      <c r="B12" s="190"/>
      <c r="C12" s="461" t="str">
        <f>'Subcases Monthly'!C12:D12</f>
        <v>Appeals (AP cases) filed in Circuit Court (SRS)</v>
      </c>
      <c r="D12" s="462"/>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4</v>
      </c>
      <c r="M12" s="227">
        <f>IF('Subcases Monthly'!M12="","",('Subcases Monthly'!M12*'Subcases Weighted Total (Auto)'!$R12))</f>
        <v>4</v>
      </c>
      <c r="N12" s="227">
        <f>IF('Subcases Monthly'!N12="","",('Subcases Monthly'!N12*'Subcases Weighted Total (Auto)'!$R12))</f>
        <v>0</v>
      </c>
      <c r="O12" s="227">
        <f>IF('Subcases Monthly'!O12="","",('Subcases Monthly'!O12*'Subcases Weighted Total (Auto)'!$R12))</f>
        <v>4</v>
      </c>
      <c r="P12" s="228">
        <f>IF('Subcases Monthly'!P12="","",('Subcases Monthly'!P12*'Subcases Weighted Total (Auto)'!$R12))</f>
        <v>0</v>
      </c>
      <c r="Q12" s="74">
        <f t="shared" si="1"/>
        <v>16</v>
      </c>
      <c r="R12" s="229">
        <f>LookupData!$A$91</f>
        <v>4</v>
      </c>
      <c r="S12" s="4"/>
    </row>
    <row r="13" spans="1:19" ht="20.100000000000001" customHeight="1" x14ac:dyDescent="0.2">
      <c r="B13" s="190"/>
      <c r="C13" s="461" t="str">
        <f>'Subcases Monthly'!C13:D13</f>
        <v>Out of State Fugitive Warrants (Non-SRS)</v>
      </c>
      <c r="D13" s="462"/>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63</v>
      </c>
      <c r="K13" s="225">
        <f>IF('Subcases Monthly'!K13="","",('Subcases Monthly'!K13*'Subcases Weighted Total (Auto)'!$R13))</f>
        <v>54</v>
      </c>
      <c r="L13" s="225">
        <f>IF('Subcases Monthly'!L13="","",('Subcases Monthly'!L13*'Subcases Weighted Total (Auto)'!$R13))</f>
        <v>63</v>
      </c>
      <c r="M13" s="225">
        <f>IF('Subcases Monthly'!M13="","",('Subcases Monthly'!M13*'Subcases Weighted Total (Auto)'!$R13))</f>
        <v>60</v>
      </c>
      <c r="N13" s="225">
        <f>IF('Subcases Monthly'!N13="","",('Subcases Monthly'!N13*'Subcases Weighted Total (Auto)'!$R13))</f>
        <v>57</v>
      </c>
      <c r="O13" s="225">
        <f>IF('Subcases Monthly'!O13="","",('Subcases Monthly'!O13*'Subcases Weighted Total (Auto)'!$R13))</f>
        <v>81</v>
      </c>
      <c r="P13" s="226">
        <f>IF('Subcases Monthly'!P13="","",('Subcases Monthly'!P13*'Subcases Weighted Total (Auto)'!$R13))</f>
        <v>0</v>
      </c>
      <c r="Q13" s="74">
        <f t="shared" si="1"/>
        <v>711</v>
      </c>
      <c r="R13" s="229">
        <f>LookupData!$A$92</f>
        <v>3</v>
      </c>
      <c r="S13" s="4"/>
    </row>
    <row r="14" spans="1:19" ht="20.100000000000001" customHeight="1" thickBot="1" x14ac:dyDescent="0.25">
      <c r="B14" s="199"/>
      <c r="C14" s="469" t="str">
        <f>'Subcases Monthly'!C14:D14</f>
        <v>Cases unable to be categorized</v>
      </c>
      <c r="D14" s="470"/>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1" t="str">
        <f>'Subcases Monthly'!C15:D15</f>
        <v xml:space="preserve">Total Circuit Criminal = </v>
      </c>
      <c r="D15" s="472"/>
      <c r="E15" s="200">
        <f t="shared" ref="E15:P15" si="2">SUM(E11:E14)</f>
        <v>4075</v>
      </c>
      <c r="F15" s="201">
        <f t="shared" si="2"/>
        <v>4287</v>
      </c>
      <c r="G15" s="201">
        <f t="shared" si="2"/>
        <v>3874</v>
      </c>
      <c r="H15" s="201">
        <f t="shared" si="2"/>
        <v>4290</v>
      </c>
      <c r="I15" s="201">
        <f t="shared" si="2"/>
        <v>3939</v>
      </c>
      <c r="J15" s="201">
        <f t="shared" si="2"/>
        <v>4295</v>
      </c>
      <c r="K15" s="201">
        <f t="shared" si="2"/>
        <v>4510</v>
      </c>
      <c r="L15" s="201">
        <f t="shared" si="2"/>
        <v>4619</v>
      </c>
      <c r="M15" s="201">
        <f t="shared" si="2"/>
        <v>4320</v>
      </c>
      <c r="N15" s="201">
        <f t="shared" si="2"/>
        <v>5041</v>
      </c>
      <c r="O15" s="201">
        <f t="shared" si="2"/>
        <v>4701</v>
      </c>
      <c r="P15" s="202">
        <f t="shared" si="2"/>
        <v>0</v>
      </c>
      <c r="Q15" s="112">
        <f t="shared" si="1"/>
        <v>47951</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4" t="str">
        <f>'Subcases Monthly'!C18:D18</f>
        <v>Misdemeanors/Worthless Checks (SRS)</v>
      </c>
      <c r="D18" s="475"/>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3332</v>
      </c>
      <c r="K18" s="93">
        <f>IF('Subcases Monthly'!K18="","",('Subcases Monthly'!K18*'Subcases Weighted Total (Auto)'!$R18))</f>
        <v>3136</v>
      </c>
      <c r="L18" s="93">
        <f>IF('Subcases Monthly'!L18="","",('Subcases Monthly'!L18*'Subcases Weighted Total (Auto)'!$R18))</f>
        <v>3528</v>
      </c>
      <c r="M18" s="93">
        <f>IF('Subcases Monthly'!M18="","",('Subcases Monthly'!M18*'Subcases Weighted Total (Auto)'!$R18))</f>
        <v>3122</v>
      </c>
      <c r="N18" s="93">
        <f>IF('Subcases Monthly'!N18="","",('Subcases Monthly'!N18*'Subcases Weighted Total (Auto)'!$R18))</f>
        <v>3430</v>
      </c>
      <c r="O18" s="93">
        <f>IF('Subcases Monthly'!O18="","",('Subcases Monthly'!O18*'Subcases Weighted Total (Auto)'!$R18))</f>
        <v>3962</v>
      </c>
      <c r="P18" s="94">
        <f>IF('Subcases Monthly'!P18="","",('Subcases Monthly'!P18*'Subcases Weighted Total (Auto)'!$R18))</f>
        <v>0</v>
      </c>
      <c r="Q18" s="63">
        <f t="shared" ref="Q18:Q23" si="4">SUM(E18:P18)</f>
        <v>34167</v>
      </c>
      <c r="R18" s="203">
        <f>LookupData!$A$95</f>
        <v>7</v>
      </c>
      <c r="S18" s="4"/>
    </row>
    <row r="19" spans="1:19" ht="20.100000000000001" customHeight="1" x14ac:dyDescent="0.2">
      <c r="B19" s="190" t="str">
        <f>IF('Subcases Monthly'!B19="","",'Subcases Monthly'!B19)</f>
        <v/>
      </c>
      <c r="C19" s="461" t="str">
        <f>'Subcases Monthly'!C19:D19</f>
        <v>County/Municipal Ordinances (SRS)</v>
      </c>
      <c r="D19" s="462"/>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105</v>
      </c>
      <c r="K19" s="96">
        <f>IF('Subcases Monthly'!K19="","",('Subcases Monthly'!K19*'Subcases Weighted Total (Auto)'!$R19))</f>
        <v>80</v>
      </c>
      <c r="L19" s="96">
        <f>IF('Subcases Monthly'!L19="","",('Subcases Monthly'!L19*'Subcases Weighted Total (Auto)'!$R19))</f>
        <v>135</v>
      </c>
      <c r="M19" s="96">
        <f>IF('Subcases Monthly'!M19="","",('Subcases Monthly'!M19*'Subcases Weighted Total (Auto)'!$R19))</f>
        <v>415</v>
      </c>
      <c r="N19" s="96">
        <f>IF('Subcases Monthly'!N19="","",('Subcases Monthly'!N19*'Subcases Weighted Total (Auto)'!$R19))</f>
        <v>230</v>
      </c>
      <c r="O19" s="96">
        <f>IF('Subcases Monthly'!O19="","",('Subcases Monthly'!O19*'Subcases Weighted Total (Auto)'!$R19))</f>
        <v>195</v>
      </c>
      <c r="P19" s="97">
        <f>IF('Subcases Monthly'!P19="","",('Subcases Monthly'!P19*'Subcases Weighted Total (Auto)'!$R19))</f>
        <v>0</v>
      </c>
      <c r="Q19" s="65">
        <f t="shared" si="4"/>
        <v>1450</v>
      </c>
      <c r="R19" s="204">
        <f>LookupData!$A$96</f>
        <v>5</v>
      </c>
      <c r="S19" s="4"/>
    </row>
    <row r="20" spans="1:19" ht="20.100000000000001" customHeight="1" x14ac:dyDescent="0.2">
      <c r="B20" s="190" t="str">
        <f>IF('Subcases Monthly'!B20="","",'Subcases Monthly'!B20)</f>
        <v/>
      </c>
      <c r="C20" s="461" t="str">
        <f>'Subcases Monthly'!C20:D20</f>
        <v>Non-Criminal Infractions (SRS)</v>
      </c>
      <c r="D20" s="462"/>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408</v>
      </c>
      <c r="K20" s="99">
        <f>IF('Subcases Monthly'!K20="","",('Subcases Monthly'!K20*'Subcases Weighted Total (Auto)'!$R20))</f>
        <v>327</v>
      </c>
      <c r="L20" s="99">
        <f>IF('Subcases Monthly'!L20="","",('Subcases Monthly'!L20*'Subcases Weighted Total (Auto)'!$R20))</f>
        <v>540</v>
      </c>
      <c r="M20" s="99">
        <f>IF('Subcases Monthly'!M20="","",('Subcases Monthly'!M20*'Subcases Weighted Total (Auto)'!$R20))</f>
        <v>564</v>
      </c>
      <c r="N20" s="99">
        <f>IF('Subcases Monthly'!N20="","",('Subcases Monthly'!N20*'Subcases Weighted Total (Auto)'!$R20))</f>
        <v>384</v>
      </c>
      <c r="O20" s="99">
        <f>IF('Subcases Monthly'!O20="","",('Subcases Monthly'!O20*'Subcases Weighted Total (Auto)'!$R20))</f>
        <v>315</v>
      </c>
      <c r="P20" s="100">
        <f>IF('Subcases Monthly'!P20="","",('Subcases Monthly'!P20*'Subcases Weighted Total (Auto)'!$R20))</f>
        <v>0</v>
      </c>
      <c r="Q20" s="67">
        <f t="shared" si="4"/>
        <v>4584</v>
      </c>
      <c r="R20" s="204">
        <f>LookupData!$A$97</f>
        <v>3</v>
      </c>
      <c r="S20" s="4"/>
    </row>
    <row r="21" spans="1:19" ht="20.100000000000001" customHeight="1" x14ac:dyDescent="0.2">
      <c r="B21" s="190"/>
      <c r="C21" s="461" t="str">
        <f>'Subcases Monthly'!C21:D21</f>
        <v>Out of State Fugitive Warrants (Non-SRS)</v>
      </c>
      <c r="D21" s="462"/>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69" t="str">
        <f>'Subcases Monthly'!C22:D22</f>
        <v>Cases unable to be categorized</v>
      </c>
      <c r="D22" s="470"/>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1" t="str">
        <f>'Subcases Monthly'!C23:D23</f>
        <v>Total County Criminal =</v>
      </c>
      <c r="D23" s="472"/>
      <c r="E23" s="200">
        <f t="shared" ref="E23:P23" si="5">SUM(E18:E22)</f>
        <v>2939</v>
      </c>
      <c r="F23" s="201">
        <f t="shared" si="5"/>
        <v>3337</v>
      </c>
      <c r="G23" s="201">
        <f t="shared" si="5"/>
        <v>3532</v>
      </c>
      <c r="H23" s="201">
        <f t="shared" si="5"/>
        <v>2960</v>
      </c>
      <c r="I23" s="201">
        <f t="shared" si="5"/>
        <v>3225</v>
      </c>
      <c r="J23" s="201">
        <f t="shared" si="5"/>
        <v>3845</v>
      </c>
      <c r="K23" s="201">
        <f t="shared" si="5"/>
        <v>3543</v>
      </c>
      <c r="L23" s="201">
        <f t="shared" si="5"/>
        <v>4203</v>
      </c>
      <c r="M23" s="201">
        <f t="shared" si="5"/>
        <v>4101</v>
      </c>
      <c r="N23" s="201">
        <f t="shared" si="5"/>
        <v>4044</v>
      </c>
      <c r="O23" s="201">
        <f t="shared" si="5"/>
        <v>4472</v>
      </c>
      <c r="P23" s="202">
        <f t="shared" si="5"/>
        <v>0</v>
      </c>
      <c r="Q23" s="110">
        <f t="shared" si="4"/>
        <v>40201</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4" t="str">
        <f>'Subcases Monthly'!C26:D26</f>
        <v>Delinquency Complaints, Incl Xfers for Disposition (SRS)</v>
      </c>
      <c r="D26" s="475"/>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413</v>
      </c>
      <c r="K26" s="93">
        <f>IF('Subcases Monthly'!K26="","",('Subcases Monthly'!K26*'Subcases Weighted Total (Auto)'!$R26))</f>
        <v>616</v>
      </c>
      <c r="L26" s="93">
        <f>IF('Subcases Monthly'!L26="","",('Subcases Monthly'!L26*'Subcases Weighted Total (Auto)'!$R26))</f>
        <v>588</v>
      </c>
      <c r="M26" s="93">
        <f>IF('Subcases Monthly'!M26="","",('Subcases Monthly'!M26*'Subcases Weighted Total (Auto)'!$R26))</f>
        <v>455</v>
      </c>
      <c r="N26" s="93">
        <f>IF('Subcases Monthly'!N26="","",('Subcases Monthly'!N26*'Subcases Weighted Total (Auto)'!$R26))</f>
        <v>539</v>
      </c>
      <c r="O26" s="93">
        <f>IF('Subcases Monthly'!O26="","",('Subcases Monthly'!O26*'Subcases Weighted Total (Auto)'!$R26))</f>
        <v>581</v>
      </c>
      <c r="P26" s="94">
        <f>IF('Subcases Monthly'!P26="","",('Subcases Monthly'!P26*'Subcases Weighted Total (Auto)'!$R26))</f>
        <v>0</v>
      </c>
      <c r="Q26" s="63">
        <f t="shared" ref="Q26:Q30" si="7">SUM(E26:P26)</f>
        <v>6153</v>
      </c>
      <c r="R26" s="203">
        <f>LookupData!$A$101</f>
        <v>7</v>
      </c>
      <c r="S26" s="4"/>
    </row>
    <row r="27" spans="1:19" ht="20.100000000000001" customHeight="1" x14ac:dyDescent="0.2">
      <c r="B27" s="190"/>
      <c r="C27" s="461" t="str">
        <f>'Subcases Monthly'!C27:D27</f>
        <v>Non-criminal (1st offense) juvenile sexting cases</v>
      </c>
      <c r="D27" s="462"/>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3</v>
      </c>
      <c r="K27" s="96">
        <f>IF('Subcases Monthly'!K27="","",('Subcases Monthly'!K27*'Subcases Weighted Total (Auto)'!$R27))</f>
        <v>9</v>
      </c>
      <c r="L27" s="96">
        <f>IF('Subcases Monthly'!L27="","",('Subcases Monthly'!L27*'Subcases Weighted Total (Auto)'!$R27))</f>
        <v>0</v>
      </c>
      <c r="M27" s="96">
        <f>IF('Subcases Monthly'!M27="","",('Subcases Monthly'!M27*'Subcases Weighted Total (Auto)'!$R27))</f>
        <v>3</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21</v>
      </c>
      <c r="R27" s="204">
        <f>LookupData!$A$102</f>
        <v>3</v>
      </c>
      <c r="S27" s="4"/>
    </row>
    <row r="28" spans="1:19" ht="20.100000000000001" customHeight="1" x14ac:dyDescent="0.2">
      <c r="B28" s="190" t="str">
        <f>IF('Subcases Monthly'!B28="","",'Subcases Monthly'!B28)</f>
        <v/>
      </c>
      <c r="C28" s="461" t="str">
        <f>'Subcases Monthly'!C28:D28</f>
        <v>Transfers for Jurisdiction/Supervision Only (Non-SRS)</v>
      </c>
      <c r="D28" s="462"/>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8</v>
      </c>
      <c r="K28" s="99">
        <f>IF('Subcases Monthly'!K28="","",('Subcases Monthly'!K28*'Subcases Weighted Total (Auto)'!$R28))</f>
        <v>4</v>
      </c>
      <c r="L28" s="99">
        <f>IF('Subcases Monthly'!L28="","",('Subcases Monthly'!L28*'Subcases Weighted Total (Auto)'!$R28))</f>
        <v>20</v>
      </c>
      <c r="M28" s="99">
        <f>IF('Subcases Monthly'!M28="","",('Subcases Monthly'!M28*'Subcases Weighted Total (Auto)'!$R28))</f>
        <v>4</v>
      </c>
      <c r="N28" s="99">
        <f>IF('Subcases Monthly'!N28="","",('Subcases Monthly'!N28*'Subcases Weighted Total (Auto)'!$R28))</f>
        <v>4</v>
      </c>
      <c r="O28" s="99">
        <f>IF('Subcases Monthly'!O28="","",('Subcases Monthly'!O28*'Subcases Weighted Total (Auto)'!$R28))</f>
        <v>12</v>
      </c>
      <c r="P28" s="100">
        <f>IF('Subcases Monthly'!P28="","",('Subcases Monthly'!P28*'Subcases Weighted Total (Auto)'!$R28))</f>
        <v>0</v>
      </c>
      <c r="Q28" s="66">
        <f t="shared" si="7"/>
        <v>68</v>
      </c>
      <c r="R28" s="204">
        <f>LookupData!$A$103</f>
        <v>4</v>
      </c>
      <c r="S28" s="4"/>
    </row>
    <row r="29" spans="1:19" ht="20.100000000000001" customHeight="1" thickBot="1" x14ac:dyDescent="0.25">
      <c r="B29" s="191">
        <f>IF('Subcases Monthly'!B29="","",'Subcases Monthly'!B29)</f>
        <v>1</v>
      </c>
      <c r="C29" s="469" t="str">
        <f>'Subcases Monthly'!C29:D29</f>
        <v>Cases unable to be categorized</v>
      </c>
      <c r="D29" s="470"/>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1" t="str">
        <f>'Subcases Monthly'!C30:D30</f>
        <v xml:space="preserve">Total Juvenile Delinquency = </v>
      </c>
      <c r="D30" s="472"/>
      <c r="E30" s="200">
        <f t="shared" ref="E30:P30" si="8">SUM(E26:E29)</f>
        <v>676</v>
      </c>
      <c r="F30" s="201">
        <f t="shared" si="8"/>
        <v>665</v>
      </c>
      <c r="G30" s="201">
        <f t="shared" si="8"/>
        <v>542</v>
      </c>
      <c r="H30" s="201">
        <f t="shared" si="8"/>
        <v>494</v>
      </c>
      <c r="I30" s="201">
        <f t="shared" si="8"/>
        <v>606</v>
      </c>
      <c r="J30" s="201">
        <f t="shared" si="8"/>
        <v>424</v>
      </c>
      <c r="K30" s="201">
        <f t="shared" si="8"/>
        <v>629</v>
      </c>
      <c r="L30" s="201">
        <f t="shared" si="8"/>
        <v>608</v>
      </c>
      <c r="M30" s="201">
        <f t="shared" si="8"/>
        <v>462</v>
      </c>
      <c r="N30" s="201">
        <f t="shared" si="8"/>
        <v>543</v>
      </c>
      <c r="O30" s="201">
        <f t="shared" si="8"/>
        <v>593</v>
      </c>
      <c r="P30" s="202">
        <f t="shared" si="8"/>
        <v>0</v>
      </c>
      <c r="Q30" s="110">
        <f t="shared" si="7"/>
        <v>6242</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4" t="str">
        <f>'Subcases Monthly'!C33:D33</f>
        <v>DUI (SRS)</v>
      </c>
      <c r="D33" s="475"/>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1435</v>
      </c>
      <c r="K33" s="93">
        <f>IF('Subcases Monthly'!K33="","",('Subcases Monthly'!K33*'Subcases Weighted Total (Auto)'!$R33))</f>
        <v>1372</v>
      </c>
      <c r="L33" s="93">
        <f>IF('Subcases Monthly'!L33="","",('Subcases Monthly'!L33*'Subcases Weighted Total (Auto)'!$R33))</f>
        <v>1344</v>
      </c>
      <c r="M33" s="93">
        <f>IF('Subcases Monthly'!M33="","",('Subcases Monthly'!M33*'Subcases Weighted Total (Auto)'!$R33))</f>
        <v>1239</v>
      </c>
      <c r="N33" s="93">
        <f>IF('Subcases Monthly'!N33="","",('Subcases Monthly'!N33*'Subcases Weighted Total (Auto)'!$R33))</f>
        <v>1232</v>
      </c>
      <c r="O33" s="93">
        <f>IF('Subcases Monthly'!O33="","",('Subcases Monthly'!O33*'Subcases Weighted Total (Auto)'!$R33))</f>
        <v>1274</v>
      </c>
      <c r="P33" s="94">
        <f>IF('Subcases Monthly'!P33="","",('Subcases Monthly'!P33*'Subcases Weighted Total (Auto)'!$R33))</f>
        <v>0</v>
      </c>
      <c r="Q33" s="63">
        <f t="shared" ref="Q33:Q36" si="10">SUM(E33:P33)</f>
        <v>13601</v>
      </c>
      <c r="R33" s="203">
        <f>LookupData!$A$106</f>
        <v>7</v>
      </c>
      <c r="S33" s="4"/>
    </row>
    <row r="34" spans="2:19" ht="20.100000000000001" customHeight="1" x14ac:dyDescent="0.2">
      <c r="B34" s="190" t="str">
        <f>IF('Subcases Monthly'!B34="","",'Subcases Monthly'!B34)</f>
        <v/>
      </c>
      <c r="C34" s="461" t="str">
        <f>'Subcases Monthly'!C34:D34</f>
        <v>Other Criminal Traffic (SRS)</v>
      </c>
      <c r="D34" s="462"/>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4146</v>
      </c>
      <c r="K34" s="96">
        <f>IF('Subcases Monthly'!K34="","",('Subcases Monthly'!K34*'Subcases Weighted Total (Auto)'!$R34))</f>
        <v>4380</v>
      </c>
      <c r="L34" s="96">
        <f>IF('Subcases Monthly'!L34="","",('Subcases Monthly'!L34*'Subcases Weighted Total (Auto)'!$R34))</f>
        <v>4242</v>
      </c>
      <c r="M34" s="96">
        <f>IF('Subcases Monthly'!M34="","",('Subcases Monthly'!M34*'Subcases Weighted Total (Auto)'!$R34))</f>
        <v>3726</v>
      </c>
      <c r="N34" s="96">
        <f>IF('Subcases Monthly'!N34="","",('Subcases Monthly'!N34*'Subcases Weighted Total (Auto)'!$R34))</f>
        <v>4308</v>
      </c>
      <c r="O34" s="96">
        <f>IF('Subcases Monthly'!O34="","",('Subcases Monthly'!O34*'Subcases Weighted Total (Auto)'!$R34))</f>
        <v>4434</v>
      </c>
      <c r="P34" s="97">
        <f>IF('Subcases Monthly'!P34="","",('Subcases Monthly'!P34*'Subcases Weighted Total (Auto)'!$R34))</f>
        <v>0</v>
      </c>
      <c r="Q34" s="65">
        <f t="shared" si="10"/>
        <v>42270</v>
      </c>
      <c r="R34" s="204">
        <f>LookupData!$A$107</f>
        <v>6</v>
      </c>
      <c r="S34" s="4"/>
    </row>
    <row r="35" spans="2:19" ht="20.100000000000001" customHeight="1" thickBot="1" x14ac:dyDescent="0.25">
      <c r="B35" s="191">
        <f>IF('Subcases Monthly'!B35="","",'Subcases Monthly'!B35)</f>
        <v>1</v>
      </c>
      <c r="C35" s="469" t="str">
        <f>'Subcases Monthly'!C35:D35</f>
        <v>Cases unable to be categorized</v>
      </c>
      <c r="D35" s="470"/>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1" t="str">
        <f>'Subcases Monthly'!C36:D36</f>
        <v xml:space="preserve">Total Criminal Traffic - UTCs = </v>
      </c>
      <c r="D36" s="472"/>
      <c r="E36" s="200">
        <f t="shared" ref="E36:P36" si="11">SUM(E33:E35)</f>
        <v>4416</v>
      </c>
      <c r="F36" s="201">
        <f t="shared" si="11"/>
        <v>4414</v>
      </c>
      <c r="G36" s="201">
        <f t="shared" si="11"/>
        <v>4583</v>
      </c>
      <c r="H36" s="201">
        <f t="shared" si="11"/>
        <v>5138</v>
      </c>
      <c r="I36" s="201">
        <f t="shared" si="11"/>
        <v>4188</v>
      </c>
      <c r="J36" s="201">
        <f t="shared" si="11"/>
        <v>5581</v>
      </c>
      <c r="K36" s="201">
        <f t="shared" si="11"/>
        <v>5752</v>
      </c>
      <c r="L36" s="201">
        <f t="shared" si="11"/>
        <v>5586</v>
      </c>
      <c r="M36" s="201">
        <f t="shared" si="11"/>
        <v>4965</v>
      </c>
      <c r="N36" s="201">
        <f t="shared" si="11"/>
        <v>5540</v>
      </c>
      <c r="O36" s="201">
        <f t="shared" si="11"/>
        <v>5708</v>
      </c>
      <c r="P36" s="202">
        <f t="shared" si="11"/>
        <v>0</v>
      </c>
      <c r="Q36" s="111">
        <f t="shared" si="10"/>
        <v>55871</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4" t="str">
        <f>'Subcases Monthly'!C39:D39</f>
        <v>Professional Malpractice (SRS)</v>
      </c>
      <c r="D39" s="475"/>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7</v>
      </c>
      <c r="K39" s="93">
        <f>IF('Subcases Monthly'!K39="","",('Subcases Monthly'!K39*'Subcases Weighted Total (Auto)'!$R39))</f>
        <v>7</v>
      </c>
      <c r="L39" s="93">
        <f>IF('Subcases Monthly'!L39="","",('Subcases Monthly'!L39*'Subcases Weighted Total (Auto)'!$R39))</f>
        <v>7</v>
      </c>
      <c r="M39" s="93">
        <f>IF('Subcases Monthly'!M39="","",('Subcases Monthly'!M39*'Subcases Weighted Total (Auto)'!$R39))</f>
        <v>7</v>
      </c>
      <c r="N39" s="93">
        <f>IF('Subcases Monthly'!N39="","",('Subcases Monthly'!N39*'Subcases Weighted Total (Auto)'!$R39))</f>
        <v>7</v>
      </c>
      <c r="O39" s="93">
        <f>IF('Subcases Monthly'!O39="","",('Subcases Monthly'!O39*'Subcases Weighted Total (Auto)'!$R39))</f>
        <v>21</v>
      </c>
      <c r="P39" s="94">
        <f>IF('Subcases Monthly'!P39="","",('Subcases Monthly'!P39*'Subcases Weighted Total (Auto)'!$R39))</f>
        <v>0</v>
      </c>
      <c r="Q39" s="63">
        <f t="shared" ref="Q39:Q60" si="13">SUM(E39:P39)</f>
        <v>112</v>
      </c>
      <c r="R39" s="178">
        <f>LookupData!$A$110</f>
        <v>7</v>
      </c>
      <c r="S39" s="4"/>
    </row>
    <row r="40" spans="2:19" ht="20.100000000000001" customHeight="1" x14ac:dyDescent="0.2">
      <c r="B40" s="190" t="str">
        <f>IF('Subcases Monthly'!B40="","",'Subcases Monthly'!B40)</f>
        <v/>
      </c>
      <c r="C40" s="461" t="str">
        <f>'Subcases Monthly'!C40:D40</f>
        <v>Products Liability (SRS)</v>
      </c>
      <c r="D40" s="462"/>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7</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7</v>
      </c>
      <c r="O40" s="96">
        <f>IF('Subcases Monthly'!O40="","",('Subcases Monthly'!O40*'Subcases Weighted Total (Auto)'!$R40))</f>
        <v>0</v>
      </c>
      <c r="P40" s="97">
        <f>IF('Subcases Monthly'!P40="","",('Subcases Monthly'!P40*'Subcases Weighted Total (Auto)'!$R40))</f>
        <v>0</v>
      </c>
      <c r="Q40" s="65">
        <f t="shared" si="13"/>
        <v>35</v>
      </c>
      <c r="R40" s="179">
        <f>LookupData!$A$111</f>
        <v>7</v>
      </c>
      <c r="S40" s="4"/>
    </row>
    <row r="41" spans="2:19" ht="20.100000000000001" customHeight="1" x14ac:dyDescent="0.2">
      <c r="B41" s="190" t="str">
        <f>IF('Subcases Monthly'!B41="","",'Subcases Monthly'!B41)</f>
        <v/>
      </c>
      <c r="C41" s="461" t="str">
        <f>'Subcases Monthly'!C41:D41</f>
        <v>Auto Negligence (SRS)</v>
      </c>
      <c r="D41" s="462"/>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812</v>
      </c>
      <c r="K41" s="99">
        <f>IF('Subcases Monthly'!K41="","",('Subcases Monthly'!K41*'Subcases Weighted Total (Auto)'!$R41))</f>
        <v>679</v>
      </c>
      <c r="L41" s="99">
        <f>IF('Subcases Monthly'!L41="","",('Subcases Monthly'!L41*'Subcases Weighted Total (Auto)'!$R41))</f>
        <v>826</v>
      </c>
      <c r="M41" s="99">
        <f>IF('Subcases Monthly'!M41="","",('Subcases Monthly'!M41*'Subcases Weighted Total (Auto)'!$R41))</f>
        <v>749</v>
      </c>
      <c r="N41" s="99">
        <f>IF('Subcases Monthly'!N41="","",('Subcases Monthly'!N41*'Subcases Weighted Total (Auto)'!$R41))</f>
        <v>812</v>
      </c>
      <c r="O41" s="99">
        <f>IF('Subcases Monthly'!O41="","",('Subcases Monthly'!O41*'Subcases Weighted Total (Auto)'!$R41))</f>
        <v>735</v>
      </c>
      <c r="P41" s="100">
        <f>IF('Subcases Monthly'!P41="","",('Subcases Monthly'!P41*'Subcases Weighted Total (Auto)'!$R41))</f>
        <v>0</v>
      </c>
      <c r="Q41" s="65">
        <f t="shared" si="13"/>
        <v>7392</v>
      </c>
      <c r="R41" s="179">
        <f>LookupData!$A$112</f>
        <v>7</v>
      </c>
      <c r="S41" s="4"/>
    </row>
    <row r="42" spans="2:19" ht="20.100000000000001" customHeight="1" x14ac:dyDescent="0.2">
      <c r="B42" s="190" t="str">
        <f>IF('Subcases Monthly'!B42="","",'Subcases Monthly'!B42)</f>
        <v/>
      </c>
      <c r="C42" s="461" t="str">
        <f>'Subcases Monthly'!C42:D42</f>
        <v>Condominium (SRS)</v>
      </c>
      <c r="D42" s="462"/>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24</v>
      </c>
      <c r="K42" s="96">
        <f>IF('Subcases Monthly'!K42="","",('Subcases Monthly'!K42*'Subcases Weighted Total (Auto)'!$R42))</f>
        <v>12</v>
      </c>
      <c r="L42" s="96">
        <f>IF('Subcases Monthly'!L42="","",('Subcases Monthly'!L42*'Subcases Weighted Total (Auto)'!$R42))</f>
        <v>0</v>
      </c>
      <c r="M42" s="96">
        <f>IF('Subcases Monthly'!M42="","",('Subcases Monthly'!M42*'Subcases Weighted Total (Auto)'!$R42))</f>
        <v>12</v>
      </c>
      <c r="N42" s="96">
        <f>IF('Subcases Monthly'!N42="","",('Subcases Monthly'!N42*'Subcases Weighted Total (Auto)'!$R42))</f>
        <v>6</v>
      </c>
      <c r="O42" s="96">
        <f>IF('Subcases Monthly'!O42="","",('Subcases Monthly'!O42*'Subcases Weighted Total (Auto)'!$R42))</f>
        <v>12</v>
      </c>
      <c r="P42" s="97">
        <f>IF('Subcases Monthly'!P42="","",('Subcases Monthly'!P42*'Subcases Weighted Total (Auto)'!$R42))</f>
        <v>0</v>
      </c>
      <c r="Q42" s="65">
        <f t="shared" si="13"/>
        <v>84</v>
      </c>
      <c r="R42" s="179">
        <f>LookupData!$A$113</f>
        <v>6</v>
      </c>
      <c r="S42" s="4"/>
    </row>
    <row r="43" spans="2:19" ht="20.100000000000001" customHeight="1" x14ac:dyDescent="0.2">
      <c r="B43" s="190" t="str">
        <f>IF('Subcases Monthly'!B43="","",'Subcases Monthly'!B43)</f>
        <v/>
      </c>
      <c r="C43" s="461" t="str">
        <f>'Subcases Monthly'!C43:D43</f>
        <v>Contract and Indebtedness (SRS)</v>
      </c>
      <c r="D43" s="462"/>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234</v>
      </c>
      <c r="K43" s="99">
        <f>IF('Subcases Monthly'!K43="","",('Subcases Monthly'!K43*'Subcases Weighted Total (Auto)'!$R43))</f>
        <v>264</v>
      </c>
      <c r="L43" s="99">
        <f>IF('Subcases Monthly'!L43="","",('Subcases Monthly'!L43*'Subcases Weighted Total (Auto)'!$R43))</f>
        <v>282</v>
      </c>
      <c r="M43" s="99">
        <f>IF('Subcases Monthly'!M43="","",('Subcases Monthly'!M43*'Subcases Weighted Total (Auto)'!$R43))</f>
        <v>306</v>
      </c>
      <c r="N43" s="99">
        <f>IF('Subcases Monthly'!N43="","",('Subcases Monthly'!N43*'Subcases Weighted Total (Auto)'!$R43))</f>
        <v>300</v>
      </c>
      <c r="O43" s="99">
        <f>IF('Subcases Monthly'!O43="","",('Subcases Monthly'!O43*'Subcases Weighted Total (Auto)'!$R43))</f>
        <v>306</v>
      </c>
      <c r="P43" s="100">
        <f>IF('Subcases Monthly'!P43="","",('Subcases Monthly'!P43*'Subcases Weighted Total (Auto)'!$R43))</f>
        <v>0</v>
      </c>
      <c r="Q43" s="65">
        <f t="shared" si="13"/>
        <v>3096</v>
      </c>
      <c r="R43" s="179">
        <f>LookupData!$A$114</f>
        <v>6</v>
      </c>
      <c r="S43" s="4"/>
    </row>
    <row r="44" spans="2:19" ht="20.100000000000001" customHeight="1" x14ac:dyDescent="0.2">
      <c r="B44" s="190" t="str">
        <f>IF('Subcases Monthly'!B44="","",'Subcases Monthly'!B44)</f>
        <v/>
      </c>
      <c r="C44" s="461" t="str">
        <f>'Subcases Monthly'!C44:D44</f>
        <v>Eminent Domain Parcels (SRS)</v>
      </c>
      <c r="D44" s="462"/>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14</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14</v>
      </c>
      <c r="R44" s="179">
        <f>LookupData!$A$115</f>
        <v>7</v>
      </c>
      <c r="S44" s="4"/>
    </row>
    <row r="45" spans="2:19" ht="20.100000000000001" customHeight="1" x14ac:dyDescent="0.2">
      <c r="B45" s="190" t="str">
        <f>IF('Subcases Monthly'!B45="","",'Subcases Monthly'!B45)</f>
        <v/>
      </c>
      <c r="C45" s="461" t="str">
        <f>'Subcases Monthly'!C45:D45</f>
        <v>Other Negligence (SRS)</v>
      </c>
      <c r="D45" s="462"/>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288</v>
      </c>
      <c r="K45" s="99">
        <f>IF('Subcases Monthly'!K45="","",('Subcases Monthly'!K45*'Subcases Weighted Total (Auto)'!$R45))</f>
        <v>156</v>
      </c>
      <c r="L45" s="99">
        <f>IF('Subcases Monthly'!L45="","",('Subcases Monthly'!L45*'Subcases Weighted Total (Auto)'!$R45))</f>
        <v>270</v>
      </c>
      <c r="M45" s="99">
        <f>IF('Subcases Monthly'!M45="","",('Subcases Monthly'!M45*'Subcases Weighted Total (Auto)'!$R45))</f>
        <v>198</v>
      </c>
      <c r="N45" s="99">
        <f>IF('Subcases Monthly'!N45="","",('Subcases Monthly'!N45*'Subcases Weighted Total (Auto)'!$R45))</f>
        <v>216</v>
      </c>
      <c r="O45" s="99">
        <f>IF('Subcases Monthly'!O45="","",('Subcases Monthly'!O45*'Subcases Weighted Total (Auto)'!$R45))</f>
        <v>216</v>
      </c>
      <c r="P45" s="100">
        <f>IF('Subcases Monthly'!P45="","",('Subcases Monthly'!P45*'Subcases Weighted Total (Auto)'!$R45))</f>
        <v>0</v>
      </c>
      <c r="Q45" s="65">
        <f t="shared" si="13"/>
        <v>2166</v>
      </c>
      <c r="R45" s="179">
        <f>LookupData!$A$116</f>
        <v>6</v>
      </c>
      <c r="S45" s="4"/>
    </row>
    <row r="46" spans="2:19" ht="20.100000000000001" customHeight="1" x14ac:dyDescent="0.2">
      <c r="B46" s="190" t="str">
        <f>IF('Subcases Monthly'!B46="","",'Subcases Monthly'!B46)</f>
        <v/>
      </c>
      <c r="C46" s="461" t="str">
        <f>'Subcases Monthly'!C46:D46</f>
        <v>Commercial Foreclosure (SRS)</v>
      </c>
      <c r="D46" s="462"/>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14</v>
      </c>
      <c r="K46" s="96">
        <f>IF('Subcases Monthly'!K46="","",('Subcases Monthly'!K46*'Subcases Weighted Total (Auto)'!$R46))</f>
        <v>7</v>
      </c>
      <c r="L46" s="96">
        <f>IF('Subcases Monthly'!L46="","",('Subcases Monthly'!L46*'Subcases Weighted Total (Auto)'!$R46))</f>
        <v>21</v>
      </c>
      <c r="M46" s="96">
        <f>IF('Subcases Monthly'!M46="","",('Subcases Monthly'!M46*'Subcases Weighted Total (Auto)'!$R46))</f>
        <v>14</v>
      </c>
      <c r="N46" s="96">
        <f>IF('Subcases Monthly'!N46="","",('Subcases Monthly'!N46*'Subcases Weighted Total (Auto)'!$R46))</f>
        <v>14</v>
      </c>
      <c r="O46" s="96">
        <f>IF('Subcases Monthly'!O46="","",('Subcases Monthly'!O46*'Subcases Weighted Total (Auto)'!$R46))</f>
        <v>42</v>
      </c>
      <c r="P46" s="97">
        <f>IF('Subcases Monthly'!P46="","",('Subcases Monthly'!P46*'Subcases Weighted Total (Auto)'!$R46))</f>
        <v>0</v>
      </c>
      <c r="Q46" s="65">
        <f t="shared" si="13"/>
        <v>217</v>
      </c>
      <c r="R46" s="179">
        <f>LookupData!$A$117</f>
        <v>7</v>
      </c>
      <c r="S46" s="4"/>
    </row>
    <row r="47" spans="2:19" ht="20.100000000000001" customHeight="1" x14ac:dyDescent="0.2">
      <c r="B47" s="190" t="str">
        <f>IF('Subcases Monthly'!B47="","",'Subcases Monthly'!B47)</f>
        <v/>
      </c>
      <c r="C47" s="461" t="str">
        <f>'Subcases Monthly'!C47:D47</f>
        <v>Homestead Residential Foreclosure (SRS)</v>
      </c>
      <c r="D47" s="462"/>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405</v>
      </c>
      <c r="K47" s="99">
        <f>IF('Subcases Monthly'!K47="","",('Subcases Monthly'!K47*'Subcases Weighted Total (Auto)'!$R47))</f>
        <v>432</v>
      </c>
      <c r="L47" s="99">
        <f>IF('Subcases Monthly'!L47="","",('Subcases Monthly'!L47*'Subcases Weighted Total (Auto)'!$R47))</f>
        <v>360</v>
      </c>
      <c r="M47" s="99">
        <f>IF('Subcases Monthly'!M47="","",('Subcases Monthly'!M47*'Subcases Weighted Total (Auto)'!$R47))</f>
        <v>351</v>
      </c>
      <c r="N47" s="99">
        <f>IF('Subcases Monthly'!N47="","",('Subcases Monthly'!N47*'Subcases Weighted Total (Auto)'!$R47))</f>
        <v>360</v>
      </c>
      <c r="O47" s="99">
        <f>IF('Subcases Monthly'!O47="","",('Subcases Monthly'!O47*'Subcases Weighted Total (Auto)'!$R47))</f>
        <v>396</v>
      </c>
      <c r="P47" s="100">
        <f>IF('Subcases Monthly'!P47="","",('Subcases Monthly'!P47*'Subcases Weighted Total (Auto)'!$R47))</f>
        <v>0</v>
      </c>
      <c r="Q47" s="65">
        <f t="shared" si="13"/>
        <v>3618</v>
      </c>
      <c r="R47" s="179">
        <f>LookupData!$A$118</f>
        <v>9</v>
      </c>
      <c r="S47" s="4"/>
    </row>
    <row r="48" spans="2:19" ht="20.100000000000001" customHeight="1" x14ac:dyDescent="0.2">
      <c r="B48" s="190" t="str">
        <f>IF('Subcases Monthly'!B48="","",'Subcases Monthly'!B48)</f>
        <v/>
      </c>
      <c r="C48" s="461" t="str">
        <f>'Subcases Monthly'!C48:D48</f>
        <v>Non-Homestead Residential Foreclosure (SRS)</v>
      </c>
      <c r="D48" s="462"/>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344</v>
      </c>
      <c r="K48" s="96">
        <f>IF('Subcases Monthly'!K48="","",('Subcases Monthly'!K48*'Subcases Weighted Total (Auto)'!$R48))</f>
        <v>312</v>
      </c>
      <c r="L48" s="96">
        <f>IF('Subcases Monthly'!L48="","",('Subcases Monthly'!L48*'Subcases Weighted Total (Auto)'!$R48))</f>
        <v>224</v>
      </c>
      <c r="M48" s="96">
        <f>IF('Subcases Monthly'!M48="","",('Subcases Monthly'!M48*'Subcases Weighted Total (Auto)'!$R48))</f>
        <v>288</v>
      </c>
      <c r="N48" s="96">
        <f>IF('Subcases Monthly'!N48="","",('Subcases Monthly'!N48*'Subcases Weighted Total (Auto)'!$R48))</f>
        <v>216</v>
      </c>
      <c r="O48" s="96">
        <f>IF('Subcases Monthly'!O48="","",('Subcases Monthly'!O48*'Subcases Weighted Total (Auto)'!$R48))</f>
        <v>272</v>
      </c>
      <c r="P48" s="97">
        <f>IF('Subcases Monthly'!P48="","",('Subcases Monthly'!P48*'Subcases Weighted Total (Auto)'!$R48))</f>
        <v>0</v>
      </c>
      <c r="Q48" s="65">
        <f t="shared" si="13"/>
        <v>2360</v>
      </c>
      <c r="R48" s="179">
        <f>LookupData!$A$119</f>
        <v>8</v>
      </c>
      <c r="S48" s="4"/>
    </row>
    <row r="49" spans="1:19" ht="20.100000000000001" customHeight="1" x14ac:dyDescent="0.2">
      <c r="B49" s="190" t="str">
        <f>IF('Subcases Monthly'!B49="","",'Subcases Monthly'!B49)</f>
        <v/>
      </c>
      <c r="C49" s="461" t="str">
        <f>'Subcases Monthly'!C49:D49</f>
        <v>Other Real Property Actions (SRS)</v>
      </c>
      <c r="D49" s="462"/>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102</v>
      </c>
      <c r="K49" s="99">
        <f>IF('Subcases Monthly'!K49="","",('Subcases Monthly'!K49*'Subcases Weighted Total (Auto)'!$R49))</f>
        <v>102</v>
      </c>
      <c r="L49" s="99">
        <f>IF('Subcases Monthly'!L49="","",('Subcases Monthly'!L49*'Subcases Weighted Total (Auto)'!$R49))</f>
        <v>120</v>
      </c>
      <c r="M49" s="99">
        <f>IF('Subcases Monthly'!M49="","",('Subcases Monthly'!M49*'Subcases Weighted Total (Auto)'!$R49))</f>
        <v>108</v>
      </c>
      <c r="N49" s="99">
        <f>IF('Subcases Monthly'!N49="","",('Subcases Monthly'!N49*'Subcases Weighted Total (Auto)'!$R49))</f>
        <v>114</v>
      </c>
      <c r="O49" s="99">
        <f>IF('Subcases Monthly'!O49="","",('Subcases Monthly'!O49*'Subcases Weighted Total (Auto)'!$R49))</f>
        <v>114</v>
      </c>
      <c r="P49" s="100">
        <f>IF('Subcases Monthly'!P49="","",('Subcases Monthly'!P49*'Subcases Weighted Total (Auto)'!$R49))</f>
        <v>0</v>
      </c>
      <c r="Q49" s="65">
        <f t="shared" si="13"/>
        <v>1230</v>
      </c>
      <c r="R49" s="179">
        <f>LookupData!$A$120</f>
        <v>6</v>
      </c>
      <c r="S49" s="4"/>
    </row>
    <row r="50" spans="1:19" ht="20.100000000000001" customHeight="1" x14ac:dyDescent="0.2">
      <c r="B50" s="190" t="str">
        <f>IF('Subcases Monthly'!B50="","",'Subcases Monthly'!B50)</f>
        <v/>
      </c>
      <c r="C50" s="461" t="str">
        <f>'Subcases Monthly'!C50:D50</f>
        <v>Other Civil (SRS)</v>
      </c>
      <c r="D50" s="462"/>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300</v>
      </c>
      <c r="K50" s="96">
        <f>IF('Subcases Monthly'!K50="","",('Subcases Monthly'!K50*'Subcases Weighted Total (Auto)'!$R50))</f>
        <v>354</v>
      </c>
      <c r="L50" s="96">
        <f>IF('Subcases Monthly'!L50="","",('Subcases Monthly'!L50*'Subcases Weighted Total (Auto)'!$R50))</f>
        <v>330</v>
      </c>
      <c r="M50" s="96">
        <f>IF('Subcases Monthly'!M50="","",('Subcases Monthly'!M50*'Subcases Weighted Total (Auto)'!$R50))</f>
        <v>222</v>
      </c>
      <c r="N50" s="96">
        <f>IF('Subcases Monthly'!N50="","",('Subcases Monthly'!N50*'Subcases Weighted Total (Auto)'!$R50))</f>
        <v>294</v>
      </c>
      <c r="O50" s="96">
        <f>IF('Subcases Monthly'!O50="","",('Subcases Monthly'!O50*'Subcases Weighted Total (Auto)'!$R50))</f>
        <v>168</v>
      </c>
      <c r="P50" s="97">
        <f>IF('Subcases Monthly'!P50="","",('Subcases Monthly'!P50*'Subcases Weighted Total (Auto)'!$R50))</f>
        <v>0</v>
      </c>
      <c r="Q50" s="65">
        <f t="shared" si="13"/>
        <v>2838</v>
      </c>
      <c r="R50" s="179">
        <f>LookupData!$A$121</f>
        <v>6</v>
      </c>
      <c r="S50" s="4"/>
    </row>
    <row r="51" spans="1:19" ht="20.100000000000001" customHeight="1" x14ac:dyDescent="0.2">
      <c r="B51" s="190"/>
      <c r="C51" s="461" t="str">
        <f>'Subcases Monthly'!C51:D51</f>
        <v>Involuntary Civil Commitment of Sexually Violent Predators (SRS)</v>
      </c>
      <c r="D51" s="462"/>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61" t="str">
        <f>'Subcases Monthly'!C52:D52</f>
        <v>Appeals (AP cases) filed in Circuit Court (SRS)</v>
      </c>
      <c r="D52" s="462"/>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4</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12</v>
      </c>
      <c r="R52" s="179">
        <f>LookupData!$A$123</f>
        <v>4</v>
      </c>
      <c r="S52" s="4"/>
    </row>
    <row r="53" spans="1:19" ht="20.100000000000001" customHeight="1" x14ac:dyDescent="0.2">
      <c r="B53" s="190"/>
      <c r="C53" s="461" t="str">
        <f>'Subcases Monthly'!C53:D53</f>
        <v>Writs of Certiorari (SRS)</v>
      </c>
      <c r="D53" s="462"/>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61" t="str">
        <f>'Subcases Monthly'!C54:D54</f>
        <v>Medical Extensions (Petitions to Extend) (Non-SRS)</v>
      </c>
      <c r="D54" s="462"/>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10</v>
      </c>
      <c r="K54" s="96">
        <f>IF('Subcases Monthly'!K54="","",('Subcases Monthly'!K54*'Subcases Weighted Total (Auto)'!$R54))</f>
        <v>10</v>
      </c>
      <c r="L54" s="96">
        <f>IF('Subcases Monthly'!L54="","",('Subcases Monthly'!L54*'Subcases Weighted Total (Auto)'!$R54))</f>
        <v>7</v>
      </c>
      <c r="M54" s="96">
        <f>IF('Subcases Monthly'!M54="","",('Subcases Monthly'!M54*'Subcases Weighted Total (Auto)'!$R54))</f>
        <v>10</v>
      </c>
      <c r="N54" s="96">
        <f>IF('Subcases Monthly'!N54="","",('Subcases Monthly'!N54*'Subcases Weighted Total (Auto)'!$R54))</f>
        <v>12</v>
      </c>
      <c r="O54" s="96">
        <f>IF('Subcases Monthly'!O54="","",('Subcases Monthly'!O54*'Subcases Weighted Total (Auto)'!$R54))</f>
        <v>7</v>
      </c>
      <c r="P54" s="97">
        <f>IF('Subcases Monthly'!P54="","",('Subcases Monthly'!P54*'Subcases Weighted Total (Auto)'!$R54))</f>
        <v>0</v>
      </c>
      <c r="Q54" s="65">
        <f t="shared" si="13"/>
        <v>98</v>
      </c>
      <c r="R54" s="179">
        <f>LookupData!$A$125</f>
        <v>1</v>
      </c>
      <c r="S54" s="4"/>
    </row>
    <row r="55" spans="1:19" ht="20.100000000000001" customHeight="1" x14ac:dyDescent="0.2">
      <c r="B55" s="190"/>
      <c r="C55" s="461" t="str">
        <f>'Subcases Monthly'!C55:D55</f>
        <v>Transfers of Lien to Security (Non-SRS)</v>
      </c>
      <c r="D55" s="462"/>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6</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18</v>
      </c>
      <c r="R55" s="179">
        <f>LookupData!$A$126</f>
        <v>3</v>
      </c>
      <c r="S55" s="4"/>
    </row>
    <row r="56" spans="1:19" ht="20.100000000000001" customHeight="1" x14ac:dyDescent="0.2">
      <c r="B56" s="190"/>
      <c r="C56" s="461" t="str">
        <f>'Subcases Monthly'!C56:D56</f>
        <v>Civil Contempt for FTA for Jury Duty (Non-SRS)</v>
      </c>
      <c r="D56" s="462"/>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61" t="str">
        <f>'Subcases Monthly'!C57:D57</f>
        <v>Confirmation of Arbitration (Non-SRS)</v>
      </c>
      <c r="D57" s="462"/>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61" t="str">
        <f>'Subcases Monthly'!C58:D58</f>
        <v>Foreign Judgments (Non-SRS)</v>
      </c>
      <c r="D58" s="462"/>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9</v>
      </c>
      <c r="K58" s="448">
        <f>IF('Subcases Monthly'!K58="","",('Subcases Monthly'!K58*'Subcases Weighted Total (Auto)'!$R58))</f>
        <v>3</v>
      </c>
      <c r="L58" s="448">
        <f>IF('Subcases Monthly'!L58="","",('Subcases Monthly'!L58*'Subcases Weighted Total (Auto)'!$R58))</f>
        <v>3</v>
      </c>
      <c r="M58" s="448">
        <f>IF('Subcases Monthly'!M58="","",('Subcases Monthly'!M58*'Subcases Weighted Total (Auto)'!$R58))</f>
        <v>3</v>
      </c>
      <c r="N58" s="448">
        <f>IF('Subcases Monthly'!N58="","",('Subcases Monthly'!N58*'Subcases Weighted Total (Auto)'!$R58))</f>
        <v>15</v>
      </c>
      <c r="O58" s="448">
        <f>IF('Subcases Monthly'!O58="","",('Subcases Monthly'!O58*'Subcases Weighted Total (Auto)'!$R58))</f>
        <v>0</v>
      </c>
      <c r="P58" s="449">
        <f>IF('Subcases Monthly'!P58="","",('Subcases Monthly'!P58*'Subcases Weighted Total (Auto)'!$R58))</f>
        <v>0</v>
      </c>
      <c r="Q58" s="67">
        <f t="shared" si="13"/>
        <v>54</v>
      </c>
      <c r="R58" s="179">
        <f>LookupData!$A$129</f>
        <v>3</v>
      </c>
      <c r="S58" s="4"/>
    </row>
    <row r="59" spans="1:19" ht="20.100000000000001" customHeight="1" thickBot="1" x14ac:dyDescent="0.25">
      <c r="B59" s="191"/>
      <c r="C59" s="469" t="str">
        <f>'Subcases Monthly'!C59:D59</f>
        <v>Cases unable to be categorized</v>
      </c>
      <c r="D59" s="470"/>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1" t="str">
        <f>'Subcases Monthly'!C60:D60</f>
        <v>Total Circuit Civil =</v>
      </c>
      <c r="D60" s="472"/>
      <c r="E60" s="200">
        <f t="shared" ref="E60:P60" si="14">SUM(E39:E59)</f>
        <v>2016</v>
      </c>
      <c r="F60" s="201">
        <f t="shared" si="14"/>
        <v>1539</v>
      </c>
      <c r="G60" s="201">
        <f t="shared" si="14"/>
        <v>1858</v>
      </c>
      <c r="H60" s="201">
        <f t="shared" si="14"/>
        <v>1702</v>
      </c>
      <c r="I60" s="201">
        <f t="shared" si="14"/>
        <v>1924</v>
      </c>
      <c r="J60" s="201">
        <f t="shared" si="14"/>
        <v>2556</v>
      </c>
      <c r="K60" s="201">
        <f t="shared" si="14"/>
        <v>2352</v>
      </c>
      <c r="L60" s="201">
        <f t="shared" si="14"/>
        <v>2460</v>
      </c>
      <c r="M60" s="201">
        <f t="shared" si="14"/>
        <v>2275</v>
      </c>
      <c r="N60" s="201">
        <f t="shared" si="14"/>
        <v>2373</v>
      </c>
      <c r="O60" s="201">
        <f t="shared" si="14"/>
        <v>2289</v>
      </c>
      <c r="P60" s="202">
        <f t="shared" si="14"/>
        <v>0</v>
      </c>
      <c r="Q60" s="73">
        <f t="shared" si="13"/>
        <v>23344</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4" t="str">
        <f>'Subcases Monthly'!C63:D63</f>
        <v>Small Claims (up to $5,000) (SRS)</v>
      </c>
      <c r="D63" s="475"/>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3594</v>
      </c>
      <c r="K63" s="122">
        <f>IF('Subcases Monthly'!K63="","",('Subcases Monthly'!K63*'Subcases Weighted Total (Auto)'!$R63))</f>
        <v>3450</v>
      </c>
      <c r="L63" s="122">
        <f>IF('Subcases Monthly'!L63="","",('Subcases Monthly'!L63*'Subcases Weighted Total (Auto)'!$R63))</f>
        <v>3918</v>
      </c>
      <c r="M63" s="122">
        <f>IF('Subcases Monthly'!M63="","",('Subcases Monthly'!M63*'Subcases Weighted Total (Auto)'!$R63))</f>
        <v>3258</v>
      </c>
      <c r="N63" s="122">
        <f>IF('Subcases Monthly'!N63="","",('Subcases Monthly'!N63*'Subcases Weighted Total (Auto)'!$R63))</f>
        <v>4296</v>
      </c>
      <c r="O63" s="122">
        <f>IF('Subcases Monthly'!O63="","",('Subcases Monthly'!O63*'Subcases Weighted Total (Auto)'!$R63))</f>
        <v>4452</v>
      </c>
      <c r="P63" s="123">
        <f>IF('Subcases Monthly'!P63="","",('Subcases Monthly'!P63*'Subcases Weighted Total (Auto)'!$R63))</f>
        <v>0</v>
      </c>
      <c r="Q63" s="63">
        <f t="shared" ref="Q63:Q74" si="16">SUM(E63:P63)</f>
        <v>37722</v>
      </c>
      <c r="R63" s="203">
        <f>LookupData!$A$132</f>
        <v>6</v>
      </c>
      <c r="S63" s="4"/>
    </row>
    <row r="64" spans="1:19" ht="20.100000000000001" customHeight="1" x14ac:dyDescent="0.2">
      <c r="B64" s="190" t="str">
        <f>IF('Subcases Monthly'!B64="","",'Subcases Monthly'!B64)</f>
        <v/>
      </c>
      <c r="C64" s="461" t="str">
        <f>'Subcases Monthly'!C64:D64</f>
        <v>Small Claims ($5,001 - $8,000) (SRS)</v>
      </c>
      <c r="D64" s="462"/>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912</v>
      </c>
      <c r="K64" s="96">
        <f>IF('Subcases Monthly'!K64="","",('Subcases Monthly'!K64*'Subcases Weighted Total (Auto)'!$R64))</f>
        <v>1056</v>
      </c>
      <c r="L64" s="96">
        <f>IF('Subcases Monthly'!L64="","",('Subcases Monthly'!L64*'Subcases Weighted Total (Auto)'!$R64))</f>
        <v>1104</v>
      </c>
      <c r="M64" s="96">
        <f>IF('Subcases Monthly'!M64="","",('Subcases Monthly'!M64*'Subcases Weighted Total (Auto)'!$R64))</f>
        <v>1092</v>
      </c>
      <c r="N64" s="96">
        <f>IF('Subcases Monthly'!N64="","",('Subcases Monthly'!N64*'Subcases Weighted Total (Auto)'!$R64))</f>
        <v>1002</v>
      </c>
      <c r="O64" s="96">
        <f>IF('Subcases Monthly'!O64="","",('Subcases Monthly'!O64*'Subcases Weighted Total (Auto)'!$R64))</f>
        <v>1020</v>
      </c>
      <c r="P64" s="97">
        <f>IF('Subcases Monthly'!P64="","",('Subcases Monthly'!P64*'Subcases Weighted Total (Auto)'!$R64))</f>
        <v>0</v>
      </c>
      <c r="Q64" s="65">
        <f t="shared" si="16"/>
        <v>10884</v>
      </c>
      <c r="R64" s="204">
        <f>LookupData!$A$133</f>
        <v>6</v>
      </c>
      <c r="S64" s="4"/>
    </row>
    <row r="65" spans="2:19" ht="20.100000000000001" customHeight="1" x14ac:dyDescent="0.2">
      <c r="B65" s="190" t="str">
        <f>IF('Subcases Monthly'!B65="","",'Subcases Monthly'!B65)</f>
        <v/>
      </c>
      <c r="C65" s="461" t="str">
        <f>'Subcases Monthly'!C65:D65</f>
        <v>Civil ($8,001 - $15,000) (SRS)</v>
      </c>
      <c r="D65" s="462"/>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545</v>
      </c>
      <c r="K65" s="99">
        <f>IF('Subcases Monthly'!K65="","",('Subcases Monthly'!K65*'Subcases Weighted Total (Auto)'!$R65))</f>
        <v>1110</v>
      </c>
      <c r="L65" s="99">
        <f>IF('Subcases Monthly'!L65="","",('Subcases Monthly'!L65*'Subcases Weighted Total (Auto)'!$R65))</f>
        <v>835</v>
      </c>
      <c r="M65" s="99">
        <f>IF('Subcases Monthly'!M65="","",('Subcases Monthly'!M65*'Subcases Weighted Total (Auto)'!$R65))</f>
        <v>1035</v>
      </c>
      <c r="N65" s="99">
        <f>IF('Subcases Monthly'!N65="","",('Subcases Monthly'!N65*'Subcases Weighted Total (Auto)'!$R65))</f>
        <v>1135</v>
      </c>
      <c r="O65" s="99">
        <f>IF('Subcases Monthly'!O65="","",('Subcases Monthly'!O65*'Subcases Weighted Total (Auto)'!$R65))</f>
        <v>1085</v>
      </c>
      <c r="P65" s="100">
        <f>IF('Subcases Monthly'!P65="","",('Subcases Monthly'!P65*'Subcases Weighted Total (Auto)'!$R65))</f>
        <v>0</v>
      </c>
      <c r="Q65" s="65">
        <f t="shared" si="16"/>
        <v>9200</v>
      </c>
      <c r="R65" s="204">
        <f>LookupData!$A$134</f>
        <v>5</v>
      </c>
      <c r="S65" s="4"/>
    </row>
    <row r="66" spans="2:19" ht="20.100000000000001" customHeight="1" x14ac:dyDescent="0.2">
      <c r="B66" s="190" t="str">
        <f>IF('Subcases Monthly'!B66="","",'Subcases Monthly'!B66)</f>
        <v/>
      </c>
      <c r="C66" s="461" t="str">
        <f>'Subcases Monthly'!C66:D66</f>
        <v>Civil ($15,001 - $30,000) (SRS)</v>
      </c>
      <c r="D66" s="462"/>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290</v>
      </c>
      <c r="K66" s="96">
        <f>IF('Subcases Monthly'!K66="","",('Subcases Monthly'!K66*'Subcases Weighted Total (Auto)'!$R66))</f>
        <v>595</v>
      </c>
      <c r="L66" s="96">
        <f>IF('Subcases Monthly'!L66="","",('Subcases Monthly'!L66*'Subcases Weighted Total (Auto)'!$R66))</f>
        <v>425</v>
      </c>
      <c r="M66" s="96">
        <f>IF('Subcases Monthly'!M66="","",('Subcases Monthly'!M66*'Subcases Weighted Total (Auto)'!$R66))</f>
        <v>420</v>
      </c>
      <c r="N66" s="96">
        <f>IF('Subcases Monthly'!N66="","",('Subcases Monthly'!N66*'Subcases Weighted Total (Auto)'!$R66))</f>
        <v>500</v>
      </c>
      <c r="O66" s="96">
        <f>IF('Subcases Monthly'!O66="","",('Subcases Monthly'!O66*'Subcases Weighted Total (Auto)'!$R66))</f>
        <v>575</v>
      </c>
      <c r="P66" s="97">
        <f>IF('Subcases Monthly'!P66="","",('Subcases Monthly'!P66*'Subcases Weighted Total (Auto)'!$R66))</f>
        <v>0</v>
      </c>
      <c r="Q66" s="65">
        <f t="shared" si="16"/>
        <v>4300</v>
      </c>
      <c r="R66" s="204">
        <f>LookupData!$A$135</f>
        <v>5</v>
      </c>
      <c r="S66" s="4"/>
    </row>
    <row r="67" spans="2:19" ht="20.100000000000001" customHeight="1" x14ac:dyDescent="0.2">
      <c r="B67" s="190"/>
      <c r="C67" s="461" t="str">
        <f>'Subcases Monthly'!C67:D67</f>
        <v>Civil ($30,001 - $50,000) (SRS)</v>
      </c>
      <c r="D67" s="462"/>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170</v>
      </c>
      <c r="K67" s="175">
        <f>IF('Subcases Monthly'!K67="","",('Subcases Monthly'!K67*'Subcases Weighted Total (Auto)'!$R67))</f>
        <v>155</v>
      </c>
      <c r="L67" s="175">
        <f>IF('Subcases Monthly'!L67="","",('Subcases Monthly'!L67*'Subcases Weighted Total (Auto)'!$R67))</f>
        <v>200</v>
      </c>
      <c r="M67" s="175">
        <f>IF('Subcases Monthly'!M67="","",('Subcases Monthly'!M67*'Subcases Weighted Total (Auto)'!$R67))</f>
        <v>110</v>
      </c>
      <c r="N67" s="175">
        <f>IF('Subcases Monthly'!N67="","",('Subcases Monthly'!N67*'Subcases Weighted Total (Auto)'!$R67))</f>
        <v>185</v>
      </c>
      <c r="O67" s="175">
        <f>IF('Subcases Monthly'!O67="","",('Subcases Monthly'!O67*'Subcases Weighted Total (Auto)'!$R67))</f>
        <v>155</v>
      </c>
      <c r="P67" s="176">
        <f>IF('Subcases Monthly'!P67="","",('Subcases Monthly'!P67*'Subcases Weighted Total (Auto)'!$R67))</f>
        <v>0</v>
      </c>
      <c r="Q67" s="65">
        <f t="shared" ref="Q67" si="17">SUM(E67:P67)</f>
        <v>1860</v>
      </c>
      <c r="R67" s="204">
        <f>LookupData!$A$136</f>
        <v>5</v>
      </c>
      <c r="S67" s="4"/>
    </row>
    <row r="68" spans="2:19" ht="20.100000000000001" customHeight="1" x14ac:dyDescent="0.2">
      <c r="B68" s="190" t="str">
        <f>IF('Subcases Monthly'!B68="","",'Subcases Monthly'!B68)</f>
        <v/>
      </c>
      <c r="C68" s="461" t="str">
        <f>'Subcases Monthly'!C68:D68</f>
        <v>Replevins (SRS)</v>
      </c>
      <c r="D68" s="462"/>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20</v>
      </c>
      <c r="K68" s="96">
        <f>IF('Subcases Monthly'!K68="","",('Subcases Monthly'!K68*'Subcases Weighted Total (Auto)'!$R68))</f>
        <v>16</v>
      </c>
      <c r="L68" s="96">
        <f>IF('Subcases Monthly'!L68="","",('Subcases Monthly'!L68*'Subcases Weighted Total (Auto)'!$R68))</f>
        <v>28</v>
      </c>
      <c r="M68" s="96">
        <f>IF('Subcases Monthly'!M68="","",('Subcases Monthly'!M68*'Subcases Weighted Total (Auto)'!$R68))</f>
        <v>28</v>
      </c>
      <c r="N68" s="96">
        <f>IF('Subcases Monthly'!N68="","",('Subcases Monthly'!N68*'Subcases Weighted Total (Auto)'!$R68))</f>
        <v>24</v>
      </c>
      <c r="O68" s="96">
        <f>IF('Subcases Monthly'!O68="","",('Subcases Monthly'!O68*'Subcases Weighted Total (Auto)'!$R68))</f>
        <v>4</v>
      </c>
      <c r="P68" s="97">
        <f>IF('Subcases Monthly'!P68="","",('Subcases Monthly'!P68*'Subcases Weighted Total (Auto)'!$R68))</f>
        <v>0</v>
      </c>
      <c r="Q68" s="65">
        <f t="shared" si="16"/>
        <v>256</v>
      </c>
      <c r="R68" s="204">
        <f>LookupData!$A$137</f>
        <v>4</v>
      </c>
      <c r="S68" s="4"/>
    </row>
    <row r="69" spans="2:19" ht="20.100000000000001" customHeight="1" x14ac:dyDescent="0.2">
      <c r="B69" s="190" t="str">
        <f>IF('Subcases Monthly'!B69="","",'Subcases Monthly'!B69)</f>
        <v/>
      </c>
      <c r="C69" s="461" t="str">
        <f>'Subcases Monthly'!C69:D69</f>
        <v>Evictions (SRS)</v>
      </c>
      <c r="D69" s="462"/>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1596</v>
      </c>
      <c r="K69" s="99">
        <f>IF('Subcases Monthly'!K69="","",('Subcases Monthly'!K69*'Subcases Weighted Total (Auto)'!$R69))</f>
        <v>1494</v>
      </c>
      <c r="L69" s="99">
        <f>IF('Subcases Monthly'!L69="","",('Subcases Monthly'!L69*'Subcases Weighted Total (Auto)'!$R69))</f>
        <v>1452</v>
      </c>
      <c r="M69" s="99">
        <f>IF('Subcases Monthly'!M69="","",('Subcases Monthly'!M69*'Subcases Weighted Total (Auto)'!$R69))</f>
        <v>1716</v>
      </c>
      <c r="N69" s="99">
        <f>IF('Subcases Monthly'!N69="","",('Subcases Monthly'!N69*'Subcases Weighted Total (Auto)'!$R69))</f>
        <v>1500</v>
      </c>
      <c r="O69" s="99">
        <f>IF('Subcases Monthly'!O69="","",('Subcases Monthly'!O69*'Subcases Weighted Total (Auto)'!$R69))</f>
        <v>1572</v>
      </c>
      <c r="P69" s="100">
        <f>IF('Subcases Monthly'!P69="","",('Subcases Monthly'!P69*'Subcases Weighted Total (Auto)'!$R69))</f>
        <v>0</v>
      </c>
      <c r="Q69" s="65">
        <f t="shared" si="16"/>
        <v>17436</v>
      </c>
      <c r="R69" s="204">
        <f>LookupData!$A$138</f>
        <v>6</v>
      </c>
      <c r="S69" s="4"/>
    </row>
    <row r="70" spans="2:19" ht="20.100000000000001" customHeight="1" x14ac:dyDescent="0.2">
      <c r="B70" s="190" t="str">
        <f>IF('Subcases Monthly'!B70="","",'Subcases Monthly'!B70)</f>
        <v/>
      </c>
      <c r="C70" s="461" t="str">
        <f>'Subcases Monthly'!C70:D70</f>
        <v>Other County Civil (Non-Monetary) (SRS)</v>
      </c>
      <c r="D70" s="462"/>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24</v>
      </c>
      <c r="K70" s="96">
        <f>IF('Subcases Monthly'!K70="","",('Subcases Monthly'!K70*'Subcases Weighted Total (Auto)'!$R70))</f>
        <v>60</v>
      </c>
      <c r="L70" s="96">
        <f>IF('Subcases Monthly'!L70="","",('Subcases Monthly'!L70*'Subcases Weighted Total (Auto)'!$R70))</f>
        <v>36</v>
      </c>
      <c r="M70" s="96">
        <f>IF('Subcases Monthly'!M70="","",('Subcases Monthly'!M70*'Subcases Weighted Total (Auto)'!$R70))</f>
        <v>20</v>
      </c>
      <c r="N70" s="96">
        <f>IF('Subcases Monthly'!N70="","",('Subcases Monthly'!N70*'Subcases Weighted Total (Auto)'!$R70))</f>
        <v>8</v>
      </c>
      <c r="O70" s="96">
        <f>IF('Subcases Monthly'!O70="","",('Subcases Monthly'!O70*'Subcases Weighted Total (Auto)'!$R70))</f>
        <v>8</v>
      </c>
      <c r="P70" s="97">
        <f>IF('Subcases Monthly'!P70="","",('Subcases Monthly'!P70*'Subcases Weighted Total (Auto)'!$R70))</f>
        <v>0</v>
      </c>
      <c r="Q70" s="65">
        <f t="shared" si="16"/>
        <v>248</v>
      </c>
      <c r="R70" s="204">
        <f>LookupData!$A$139</f>
        <v>4</v>
      </c>
      <c r="S70" s="4"/>
    </row>
    <row r="71" spans="2:19" ht="20.100000000000001" customHeight="1" x14ac:dyDescent="0.2">
      <c r="B71" s="190" t="str">
        <f>IF('Subcases Monthly'!B71="","",'Subcases Monthly'!B71)</f>
        <v/>
      </c>
      <c r="C71" s="461" t="str">
        <f>'Subcases Monthly'!C71:D71</f>
        <v>Foreign Judgments (Non-SRS)</v>
      </c>
      <c r="D71" s="462"/>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6</v>
      </c>
      <c r="K71" s="99">
        <f>IF('Subcases Monthly'!K71="","",('Subcases Monthly'!K71*'Subcases Weighted Total (Auto)'!$R71))</f>
        <v>12</v>
      </c>
      <c r="L71" s="99">
        <f>IF('Subcases Monthly'!L71="","",('Subcases Monthly'!L71*'Subcases Weighted Total (Auto)'!$R71))</f>
        <v>9</v>
      </c>
      <c r="M71" s="99">
        <f>IF('Subcases Monthly'!M71="","",('Subcases Monthly'!M71*'Subcases Weighted Total (Auto)'!$R71))</f>
        <v>18</v>
      </c>
      <c r="N71" s="99">
        <f>IF('Subcases Monthly'!N71="","",('Subcases Monthly'!N71*'Subcases Weighted Total (Auto)'!$R71))</f>
        <v>3</v>
      </c>
      <c r="O71" s="99">
        <f>IF('Subcases Monthly'!O71="","",('Subcases Monthly'!O71*'Subcases Weighted Total (Auto)'!$R71))</f>
        <v>3</v>
      </c>
      <c r="P71" s="100">
        <f>IF('Subcases Monthly'!P71="","",('Subcases Monthly'!P71*'Subcases Weighted Total (Auto)'!$R71))</f>
        <v>0</v>
      </c>
      <c r="Q71" s="66">
        <f t="shared" si="16"/>
        <v>57</v>
      </c>
      <c r="R71" s="204">
        <f>LookupData!$A$140</f>
        <v>3</v>
      </c>
      <c r="S71" s="4"/>
    </row>
    <row r="72" spans="2:19" ht="20.100000000000001" customHeight="1" x14ac:dyDescent="0.2">
      <c r="B72" s="190" t="str">
        <f>IF('Subcases Monthly'!B72="","",'Subcases Monthly'!B72)</f>
        <v/>
      </c>
      <c r="C72" s="461" t="str">
        <f>'Subcases Monthly'!C72:D72</f>
        <v>Applications for Voluntary Binding Arbitration (Non-SRS)</v>
      </c>
      <c r="D72" s="462"/>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69" t="str">
        <f>'Subcases Monthly'!C73:D73</f>
        <v>Cases unable to be categorized</v>
      </c>
      <c r="D73" s="470"/>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1" t="str">
        <f>'Subcases Monthly'!C74:D74</f>
        <v>Total County Civil =</v>
      </c>
      <c r="D74" s="472"/>
      <c r="E74" s="200">
        <f t="shared" ref="E74:P74" si="18">SUM(E63:E73)</f>
        <v>6817</v>
      </c>
      <c r="F74" s="201">
        <f t="shared" si="18"/>
        <v>6884</v>
      </c>
      <c r="G74" s="201">
        <f t="shared" si="18"/>
        <v>6772</v>
      </c>
      <c r="H74" s="201">
        <f t="shared" si="18"/>
        <v>7579</v>
      </c>
      <c r="I74" s="201">
        <f t="shared" si="18"/>
        <v>5575</v>
      </c>
      <c r="J74" s="201">
        <f t="shared" si="18"/>
        <v>7157</v>
      </c>
      <c r="K74" s="201">
        <f t="shared" si="18"/>
        <v>7948</v>
      </c>
      <c r="L74" s="201">
        <f t="shared" si="18"/>
        <v>8007</v>
      </c>
      <c r="M74" s="201">
        <f t="shared" si="18"/>
        <v>7697</v>
      </c>
      <c r="N74" s="201">
        <f t="shared" si="18"/>
        <v>8653</v>
      </c>
      <c r="O74" s="201">
        <f t="shared" si="18"/>
        <v>8874</v>
      </c>
      <c r="P74" s="202">
        <f t="shared" si="18"/>
        <v>0</v>
      </c>
      <c r="Q74" s="110">
        <f t="shared" si="16"/>
        <v>81963</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4" t="str">
        <f>'Subcases Monthly'!C77:D77</f>
        <v>Probate (SRS)</v>
      </c>
      <c r="D77" s="475"/>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1554</v>
      </c>
      <c r="K77" s="93">
        <f>IF('Subcases Monthly'!K77="","",('Subcases Monthly'!K77*'Subcases Weighted Total (Auto)'!$R77))</f>
        <v>1519</v>
      </c>
      <c r="L77" s="93">
        <f>IF('Subcases Monthly'!L77="","",('Subcases Monthly'!L77*'Subcases Weighted Total (Auto)'!$R77))</f>
        <v>1617</v>
      </c>
      <c r="M77" s="93">
        <f>IF('Subcases Monthly'!M77="","",('Subcases Monthly'!M77*'Subcases Weighted Total (Auto)'!$R77))</f>
        <v>1365</v>
      </c>
      <c r="N77" s="93">
        <f>IF('Subcases Monthly'!N77="","",('Subcases Monthly'!N77*'Subcases Weighted Total (Auto)'!$R77))</f>
        <v>1484</v>
      </c>
      <c r="O77" s="93">
        <f>IF('Subcases Monthly'!O77="","",('Subcases Monthly'!O77*'Subcases Weighted Total (Auto)'!$R77))</f>
        <v>1456</v>
      </c>
      <c r="P77" s="94">
        <f>IF('Subcases Monthly'!P77="","",('Subcases Monthly'!P77*'Subcases Weighted Total (Auto)'!$R77))</f>
        <v>0</v>
      </c>
      <c r="Q77" s="63">
        <f t="shared" ref="Q77:Q94" si="20">SUM(E77:P77)</f>
        <v>15568</v>
      </c>
      <c r="R77" s="203">
        <f>LookupData!$A$144</f>
        <v>7</v>
      </c>
      <c r="S77" s="4"/>
    </row>
    <row r="78" spans="2:19" ht="20.100000000000001" customHeight="1" x14ac:dyDescent="0.2">
      <c r="B78" s="190" t="str">
        <f>IF('Subcases Monthly'!B78="","",'Subcases Monthly'!B78)</f>
        <v/>
      </c>
      <c r="C78" s="461" t="str">
        <f>'Subcases Monthly'!C78:D78</f>
        <v>Guardianship (SRS)</v>
      </c>
      <c r="D78" s="462"/>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250</v>
      </c>
      <c r="K78" s="96">
        <f>IF('Subcases Monthly'!K78="","",('Subcases Monthly'!K78*'Subcases Weighted Total (Auto)'!$R78))</f>
        <v>250</v>
      </c>
      <c r="L78" s="96">
        <f>IF('Subcases Monthly'!L78="","",('Subcases Monthly'!L78*'Subcases Weighted Total (Auto)'!$R78))</f>
        <v>330</v>
      </c>
      <c r="M78" s="96">
        <f>IF('Subcases Monthly'!M78="","",('Subcases Monthly'!M78*'Subcases Weighted Total (Auto)'!$R78))</f>
        <v>370</v>
      </c>
      <c r="N78" s="96">
        <f>IF('Subcases Monthly'!N78="","",('Subcases Monthly'!N78*'Subcases Weighted Total (Auto)'!$R78))</f>
        <v>210</v>
      </c>
      <c r="O78" s="96">
        <f>IF('Subcases Monthly'!O78="","",('Subcases Monthly'!O78*'Subcases Weighted Total (Auto)'!$R78))</f>
        <v>370</v>
      </c>
      <c r="P78" s="97">
        <f>IF('Subcases Monthly'!P78="","",('Subcases Monthly'!P78*'Subcases Weighted Total (Auto)'!$R78))</f>
        <v>0</v>
      </c>
      <c r="Q78" s="65">
        <f t="shared" si="20"/>
        <v>3110</v>
      </c>
      <c r="R78" s="204">
        <f>LookupData!$A$145</f>
        <v>10</v>
      </c>
      <c r="S78" s="4"/>
    </row>
    <row r="79" spans="2:19" ht="20.100000000000001" customHeight="1" x14ac:dyDescent="0.2">
      <c r="B79" s="190" t="str">
        <f>IF('Subcases Monthly'!B79="","",'Subcases Monthly'!B79)</f>
        <v/>
      </c>
      <c r="C79" s="461" t="str">
        <f>'Subcases Monthly'!C79:D79</f>
        <v>Probate Trust (SRS)</v>
      </c>
      <c r="D79" s="462"/>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14</v>
      </c>
      <c r="K79" s="99">
        <f>IF('Subcases Monthly'!K79="","",('Subcases Monthly'!K79*'Subcases Weighted Total (Auto)'!$R79))</f>
        <v>14</v>
      </c>
      <c r="L79" s="99">
        <f>IF('Subcases Monthly'!L79="","",('Subcases Monthly'!L79*'Subcases Weighted Total (Auto)'!$R79))</f>
        <v>14</v>
      </c>
      <c r="M79" s="99">
        <f>IF('Subcases Monthly'!M79="","",('Subcases Monthly'!M79*'Subcases Weighted Total (Auto)'!$R79))</f>
        <v>21</v>
      </c>
      <c r="N79" s="99">
        <f>IF('Subcases Monthly'!N79="","",('Subcases Monthly'!N79*'Subcases Weighted Total (Auto)'!$R79))</f>
        <v>21</v>
      </c>
      <c r="O79" s="99">
        <f>IF('Subcases Monthly'!O79="","",('Subcases Monthly'!O79*'Subcases Weighted Total (Auto)'!$R79))</f>
        <v>21</v>
      </c>
      <c r="P79" s="100">
        <f>IF('Subcases Monthly'!P79="","",('Subcases Monthly'!P79*'Subcases Weighted Total (Auto)'!$R79))</f>
        <v>0</v>
      </c>
      <c r="Q79" s="65">
        <f t="shared" si="20"/>
        <v>133</v>
      </c>
      <c r="R79" s="204">
        <f>LookupData!$A$146</f>
        <v>7</v>
      </c>
      <c r="S79" s="4"/>
    </row>
    <row r="80" spans="2:19" ht="20.100000000000001" customHeight="1" x14ac:dyDescent="0.2">
      <c r="B80" s="190" t="str">
        <f>IF('Subcases Monthly'!B80="","",'Subcases Monthly'!B80)</f>
        <v/>
      </c>
      <c r="C80" s="461" t="str">
        <f>'Subcases Monthly'!C80:D80</f>
        <v>Baker Act (SRS)</v>
      </c>
      <c r="D80" s="462"/>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240</v>
      </c>
      <c r="K80" s="96">
        <f>IF('Subcases Monthly'!K80="","",('Subcases Monthly'!K80*'Subcases Weighted Total (Auto)'!$R80))</f>
        <v>348</v>
      </c>
      <c r="L80" s="96">
        <f>IF('Subcases Monthly'!L80="","",('Subcases Monthly'!L80*'Subcases Weighted Total (Auto)'!$R80))</f>
        <v>318</v>
      </c>
      <c r="M80" s="96">
        <f>IF('Subcases Monthly'!M80="","",('Subcases Monthly'!M80*'Subcases Weighted Total (Auto)'!$R80))</f>
        <v>342</v>
      </c>
      <c r="N80" s="96">
        <f>IF('Subcases Monthly'!N80="","",('Subcases Monthly'!N80*'Subcases Weighted Total (Auto)'!$R80))</f>
        <v>312</v>
      </c>
      <c r="O80" s="96">
        <f>IF('Subcases Monthly'!O80="","",('Subcases Monthly'!O80*'Subcases Weighted Total (Auto)'!$R80))</f>
        <v>312</v>
      </c>
      <c r="P80" s="97">
        <f>IF('Subcases Monthly'!P80="","",('Subcases Monthly'!P80*'Subcases Weighted Total (Auto)'!$R80))</f>
        <v>0</v>
      </c>
      <c r="Q80" s="65">
        <f t="shared" si="20"/>
        <v>3426</v>
      </c>
      <c r="R80" s="204">
        <f>LookupData!$A$147</f>
        <v>6</v>
      </c>
      <c r="S80" s="4"/>
    </row>
    <row r="81" spans="1:19" ht="20.100000000000001" customHeight="1" x14ac:dyDescent="0.2">
      <c r="B81" s="190" t="str">
        <f>IF('Subcases Monthly'!B81="","",'Subcases Monthly'!B81)</f>
        <v/>
      </c>
      <c r="C81" s="461" t="str">
        <f>'Subcases Monthly'!C81:D81</f>
        <v>Substance Abuse Act (SRS)</v>
      </c>
      <c r="D81" s="462"/>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60</v>
      </c>
      <c r="K81" s="99">
        <f>IF('Subcases Monthly'!K81="","",('Subcases Monthly'!K81*'Subcases Weighted Total (Auto)'!$R81))</f>
        <v>72</v>
      </c>
      <c r="L81" s="99">
        <f>IF('Subcases Monthly'!L81="","",('Subcases Monthly'!L81*'Subcases Weighted Total (Auto)'!$R81))</f>
        <v>48</v>
      </c>
      <c r="M81" s="99">
        <f>IF('Subcases Monthly'!M81="","",('Subcases Monthly'!M81*'Subcases Weighted Total (Auto)'!$R81))</f>
        <v>72</v>
      </c>
      <c r="N81" s="99">
        <f>IF('Subcases Monthly'!N81="","",('Subcases Monthly'!N81*'Subcases Weighted Total (Auto)'!$R81))</f>
        <v>132</v>
      </c>
      <c r="O81" s="99">
        <f>IF('Subcases Monthly'!O81="","",('Subcases Monthly'!O81*'Subcases Weighted Total (Auto)'!$R81))</f>
        <v>78</v>
      </c>
      <c r="P81" s="100">
        <f>IF('Subcases Monthly'!P81="","",('Subcases Monthly'!P81*'Subcases Weighted Total (Auto)'!$R81))</f>
        <v>0</v>
      </c>
      <c r="Q81" s="65">
        <f t="shared" si="20"/>
        <v>960</v>
      </c>
      <c r="R81" s="204">
        <f>LookupData!$A$148</f>
        <v>6</v>
      </c>
      <c r="S81" s="4"/>
    </row>
    <row r="82" spans="1:19" ht="20.100000000000001" customHeight="1" x14ac:dyDescent="0.2">
      <c r="B82" s="190" t="str">
        <f>IF('Subcases Monthly'!B82="","",'Subcases Monthly'!B82)</f>
        <v/>
      </c>
      <c r="C82" s="461" t="str">
        <f>'Subcases Monthly'!C82:D82</f>
        <v>Other Social (SRS)</v>
      </c>
      <c r="D82" s="462"/>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64</v>
      </c>
      <c r="K82" s="96">
        <f>IF('Subcases Monthly'!K82="","",('Subcases Monthly'!K82*'Subcases Weighted Total (Auto)'!$R82))</f>
        <v>56</v>
      </c>
      <c r="L82" s="96">
        <f>IF('Subcases Monthly'!L82="","",('Subcases Monthly'!L82*'Subcases Weighted Total (Auto)'!$R82))</f>
        <v>68</v>
      </c>
      <c r="M82" s="96">
        <f>IF('Subcases Monthly'!M82="","",('Subcases Monthly'!M82*'Subcases Weighted Total (Auto)'!$R82))</f>
        <v>52</v>
      </c>
      <c r="N82" s="96">
        <f>IF('Subcases Monthly'!N82="","",('Subcases Monthly'!N82*'Subcases Weighted Total (Auto)'!$R82))</f>
        <v>32</v>
      </c>
      <c r="O82" s="96">
        <f>IF('Subcases Monthly'!O82="","",('Subcases Monthly'!O82*'Subcases Weighted Total (Auto)'!$R82))</f>
        <v>64</v>
      </c>
      <c r="P82" s="97">
        <f>IF('Subcases Monthly'!P82="","",('Subcases Monthly'!P82*'Subcases Weighted Total (Auto)'!$R82))</f>
        <v>0</v>
      </c>
      <c r="Q82" s="65">
        <f t="shared" si="20"/>
        <v>600</v>
      </c>
      <c r="R82" s="204">
        <f>LookupData!$A$149</f>
        <v>4</v>
      </c>
      <c r="S82" s="4"/>
    </row>
    <row r="83" spans="1:19" ht="20.100000000000001" customHeight="1" x14ac:dyDescent="0.2">
      <c r="B83" s="190"/>
      <c r="C83" s="461" t="str">
        <f>'Subcases Monthly'!C83:D83</f>
        <v>Involuntary Civil Commitment of Sexually Violent Predators (SRS)</v>
      </c>
      <c r="D83" s="462"/>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61" t="str">
        <f>'Subcases Monthly'!C84:D84</f>
        <v>Risk Protection Orders (SRS)</v>
      </c>
      <c r="D84" s="462"/>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12</v>
      </c>
      <c r="K84" s="96">
        <f>IF('Subcases Monthly'!K84="","",('Subcases Monthly'!K84*'Subcases Weighted Total (Auto)'!$R84))</f>
        <v>24</v>
      </c>
      <c r="L84" s="96">
        <f>IF('Subcases Monthly'!L84="","",('Subcases Monthly'!L84*'Subcases Weighted Total (Auto)'!$R84))</f>
        <v>42</v>
      </c>
      <c r="M84" s="96">
        <f>IF('Subcases Monthly'!M84="","",('Subcases Monthly'!M84*'Subcases Weighted Total (Auto)'!$R84))</f>
        <v>0</v>
      </c>
      <c r="N84" s="96">
        <f>IF('Subcases Monthly'!N84="","",('Subcases Monthly'!N84*'Subcases Weighted Total (Auto)'!$R84))</f>
        <v>30</v>
      </c>
      <c r="O84" s="96">
        <f>IF('Subcases Monthly'!O84="","",('Subcases Monthly'!O84*'Subcases Weighted Total (Auto)'!$R84))</f>
        <v>12</v>
      </c>
      <c r="P84" s="97">
        <f>IF('Subcases Monthly'!P84="","",('Subcases Monthly'!P84*'Subcases Weighted Total (Auto)'!$R84))</f>
        <v>0</v>
      </c>
      <c r="Q84" s="65">
        <f t="shared" si="20"/>
        <v>252</v>
      </c>
      <c r="R84" s="204">
        <f>LookupData!$A$151</f>
        <v>6</v>
      </c>
      <c r="S84" s="4"/>
    </row>
    <row r="85" spans="1:19" ht="20.100000000000001" customHeight="1" x14ac:dyDescent="0.2">
      <c r="B85" s="190" t="str">
        <f>IF('Subcases Monthly'!B85="","",'Subcases Monthly'!B85)</f>
        <v/>
      </c>
      <c r="C85" s="461" t="str">
        <f>'Subcases Monthly'!C85:D85</f>
        <v>Wills on Deposit (Non-SRS)</v>
      </c>
      <c r="D85" s="462"/>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145</v>
      </c>
      <c r="K85" s="99">
        <f>IF('Subcases Monthly'!K85="","",('Subcases Monthly'!K85*'Subcases Weighted Total (Auto)'!$R85))</f>
        <v>146</v>
      </c>
      <c r="L85" s="99">
        <f>IF('Subcases Monthly'!L85="","",('Subcases Monthly'!L85*'Subcases Weighted Total (Auto)'!$R85))</f>
        <v>131</v>
      </c>
      <c r="M85" s="99">
        <f>IF('Subcases Monthly'!M85="","",('Subcases Monthly'!M85*'Subcases Weighted Total (Auto)'!$R85))</f>
        <v>140</v>
      </c>
      <c r="N85" s="99">
        <f>IF('Subcases Monthly'!N85="","",('Subcases Monthly'!N85*'Subcases Weighted Total (Auto)'!$R85))</f>
        <v>131</v>
      </c>
      <c r="O85" s="99">
        <f>IF('Subcases Monthly'!O85="","",('Subcases Monthly'!O85*'Subcases Weighted Total (Auto)'!$R85))</f>
        <v>133</v>
      </c>
      <c r="P85" s="100">
        <f>IF('Subcases Monthly'!P85="","",('Subcases Monthly'!P85*'Subcases Weighted Total (Auto)'!$R85))</f>
        <v>0</v>
      </c>
      <c r="Q85" s="65">
        <f t="shared" si="20"/>
        <v>1481</v>
      </c>
      <c r="R85" s="204">
        <f>LookupData!$A$152</f>
        <v>1</v>
      </c>
      <c r="S85" s="4"/>
    </row>
    <row r="86" spans="1:19" ht="20.100000000000001" customHeight="1" x14ac:dyDescent="0.2">
      <c r="B86" s="190" t="str">
        <f>IF('Subcases Monthly'!B86="","",'Subcases Monthly'!B86)</f>
        <v/>
      </c>
      <c r="C86" s="461" t="str">
        <f>'Subcases Monthly'!C86:D86</f>
        <v>Pre-Need Guardianship (Non-SRS)</v>
      </c>
      <c r="D86" s="462"/>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112</v>
      </c>
      <c r="K86" s="96">
        <f>IF('Subcases Monthly'!K86="","",('Subcases Monthly'!K86*'Subcases Weighted Total (Auto)'!$R86))</f>
        <v>169</v>
      </c>
      <c r="L86" s="96">
        <f>IF('Subcases Monthly'!L86="","",('Subcases Monthly'!L86*'Subcases Weighted Total (Auto)'!$R86))</f>
        <v>146</v>
      </c>
      <c r="M86" s="96">
        <f>IF('Subcases Monthly'!M86="","",('Subcases Monthly'!M86*'Subcases Weighted Total (Auto)'!$R86))</f>
        <v>111</v>
      </c>
      <c r="N86" s="96">
        <f>IF('Subcases Monthly'!N86="","",('Subcases Monthly'!N86*'Subcases Weighted Total (Auto)'!$R86))</f>
        <v>143</v>
      </c>
      <c r="O86" s="96">
        <f>IF('Subcases Monthly'!O86="","",('Subcases Monthly'!O86*'Subcases Weighted Total (Auto)'!$R86))</f>
        <v>142</v>
      </c>
      <c r="P86" s="97">
        <f>IF('Subcases Monthly'!P86="","",('Subcases Monthly'!P86*'Subcases Weighted Total (Auto)'!$R86))</f>
        <v>0</v>
      </c>
      <c r="Q86" s="65">
        <f t="shared" si="20"/>
        <v>1458</v>
      </c>
      <c r="R86" s="204">
        <f>LookupData!$A$153</f>
        <v>1</v>
      </c>
      <c r="S86" s="4"/>
    </row>
    <row r="87" spans="1:19" ht="20.100000000000001" customHeight="1" x14ac:dyDescent="0.2">
      <c r="B87" s="190" t="str">
        <f>IF('Subcases Monthly'!B87="","",'Subcases Monthly'!B87)</f>
        <v/>
      </c>
      <c r="C87" s="461" t="str">
        <f>'Subcases Monthly'!C87:D87</f>
        <v>Notice of Trust (Non-SRS)</v>
      </c>
      <c r="D87" s="462"/>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43</v>
      </c>
      <c r="K87" s="99">
        <f>IF('Subcases Monthly'!K87="","",('Subcases Monthly'!K87*'Subcases Weighted Total (Auto)'!$R87))</f>
        <v>45</v>
      </c>
      <c r="L87" s="99">
        <f>IF('Subcases Monthly'!L87="","",('Subcases Monthly'!L87*'Subcases Weighted Total (Auto)'!$R87))</f>
        <v>47</v>
      </c>
      <c r="M87" s="99">
        <f>IF('Subcases Monthly'!M87="","",('Subcases Monthly'!M87*'Subcases Weighted Total (Auto)'!$R87))</f>
        <v>47</v>
      </c>
      <c r="N87" s="99">
        <f>IF('Subcases Monthly'!N87="","",('Subcases Monthly'!N87*'Subcases Weighted Total (Auto)'!$R87))</f>
        <v>32</v>
      </c>
      <c r="O87" s="99">
        <f>IF('Subcases Monthly'!O87="","",('Subcases Monthly'!O87*'Subcases Weighted Total (Auto)'!$R87))</f>
        <v>31</v>
      </c>
      <c r="P87" s="100">
        <f>IF('Subcases Monthly'!P87="","",('Subcases Monthly'!P87*'Subcases Weighted Total (Auto)'!$R87))</f>
        <v>0</v>
      </c>
      <c r="Q87" s="70">
        <f t="shared" si="20"/>
        <v>435</v>
      </c>
      <c r="R87" s="204">
        <f>LookupData!$A$154</f>
        <v>1</v>
      </c>
      <c r="S87" s="4"/>
    </row>
    <row r="88" spans="1:19" ht="20.100000000000001" customHeight="1" x14ac:dyDescent="0.2">
      <c r="B88" s="190" t="str">
        <f>IF('Subcases Monthly'!B88="","",'Subcases Monthly'!B88)</f>
        <v/>
      </c>
      <c r="C88" s="461" t="str">
        <f>'Subcases Monthly'!C88:D88</f>
        <v>Petition to Open Safe Deposit Box (Non-SRS)</v>
      </c>
      <c r="D88" s="462"/>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6</v>
      </c>
      <c r="L88" s="96">
        <f>IF('Subcases Monthly'!L88="","",('Subcases Monthly'!L88*'Subcases Weighted Total (Auto)'!$R88))</f>
        <v>2</v>
      </c>
      <c r="M88" s="96">
        <f>IF('Subcases Monthly'!M88="","",('Subcases Monthly'!M88*'Subcases Weighted Total (Auto)'!$R88))</f>
        <v>0</v>
      </c>
      <c r="N88" s="96">
        <f>IF('Subcases Monthly'!N88="","",('Subcases Monthly'!N88*'Subcases Weighted Total (Auto)'!$R88))</f>
        <v>2</v>
      </c>
      <c r="O88" s="96">
        <f>IF('Subcases Monthly'!O88="","",('Subcases Monthly'!O88*'Subcases Weighted Total (Auto)'!$R88))</f>
        <v>2</v>
      </c>
      <c r="P88" s="97">
        <f>IF('Subcases Monthly'!P88="","",('Subcases Monthly'!P88*'Subcases Weighted Total (Auto)'!$R88))</f>
        <v>0</v>
      </c>
      <c r="Q88" s="68">
        <f t="shared" si="20"/>
        <v>24</v>
      </c>
      <c r="R88" s="204">
        <f>LookupData!$A$155</f>
        <v>2</v>
      </c>
      <c r="S88" s="4"/>
    </row>
    <row r="89" spans="1:19" ht="20.100000000000001" customHeight="1" x14ac:dyDescent="0.2">
      <c r="B89" s="190" t="str">
        <f>IF('Subcases Monthly'!B89="","",'Subcases Monthly'!B89)</f>
        <v/>
      </c>
      <c r="C89" s="461" t="str">
        <f>'Subcases Monthly'!C89:D89</f>
        <v>Caveat (Non-SRS)</v>
      </c>
      <c r="D89" s="462"/>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34</v>
      </c>
      <c r="K89" s="99">
        <f>IF('Subcases Monthly'!K89="","",('Subcases Monthly'!K89*'Subcases Weighted Total (Auto)'!$R89))</f>
        <v>6</v>
      </c>
      <c r="L89" s="99">
        <f>IF('Subcases Monthly'!L89="","",('Subcases Monthly'!L89*'Subcases Weighted Total (Auto)'!$R89))</f>
        <v>12</v>
      </c>
      <c r="M89" s="99">
        <f>IF('Subcases Monthly'!M89="","",('Subcases Monthly'!M89*'Subcases Weighted Total (Auto)'!$R89))</f>
        <v>14</v>
      </c>
      <c r="N89" s="99">
        <f>IF('Subcases Monthly'!N89="","",('Subcases Monthly'!N89*'Subcases Weighted Total (Auto)'!$R89))</f>
        <v>20</v>
      </c>
      <c r="O89" s="99">
        <f>IF('Subcases Monthly'!O89="","",('Subcases Monthly'!O89*'Subcases Weighted Total (Auto)'!$R89))</f>
        <v>28</v>
      </c>
      <c r="P89" s="100">
        <f>IF('Subcases Monthly'!P89="","",('Subcases Monthly'!P89*'Subcases Weighted Total (Auto)'!$R89))</f>
        <v>0</v>
      </c>
      <c r="Q89" s="68">
        <f t="shared" si="20"/>
        <v>178</v>
      </c>
      <c r="R89" s="204">
        <f>LookupData!$A$156</f>
        <v>2</v>
      </c>
      <c r="S89" s="4"/>
    </row>
    <row r="90" spans="1:19" ht="20.100000000000001" customHeight="1" x14ac:dyDescent="0.2">
      <c r="B90" s="190" t="str">
        <f>IF('Subcases Monthly'!B90="","",'Subcases Monthly'!B90)</f>
        <v/>
      </c>
      <c r="C90" s="461" t="str">
        <f>'Subcases Monthly'!C90:D90</f>
        <v>Petition to Gain Entry to Apartment of Dwelling (Non-SRS)</v>
      </c>
      <c r="D90" s="462"/>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61" t="str">
        <f>'Subcases Monthly'!C91:D91</f>
        <v>Cert of Person's Imminent Dangerousness (Non-SRS)</v>
      </c>
      <c r="D91" s="462"/>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61" t="str">
        <f>'Subcases Monthly'!C92:D92</f>
        <v>Vulnerable Adults (SRS)</v>
      </c>
      <c r="D92" s="462"/>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6</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18</v>
      </c>
      <c r="R92" s="238">
        <f>LookupData!$A$159</f>
        <v>6</v>
      </c>
      <c r="S92" s="4"/>
    </row>
    <row r="93" spans="1:19" ht="20.100000000000001" customHeight="1" thickBot="1" x14ac:dyDescent="0.25">
      <c r="B93" s="191"/>
      <c r="C93" s="469" t="str">
        <f>'Subcases Monthly'!C93:D93</f>
        <v>Cases unable to be categorized</v>
      </c>
      <c r="D93" s="470"/>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1" t="str">
        <f>'Subcases Monthly'!C94:D94</f>
        <v>Total Probate =</v>
      </c>
      <c r="D94" s="472"/>
      <c r="E94" s="200">
        <f t="shared" ref="E94:P94" si="21">SUM(E77:E93)</f>
        <v>2452</v>
      </c>
      <c r="F94" s="201">
        <f t="shared" si="21"/>
        <v>2243</v>
      </c>
      <c r="G94" s="201">
        <f t="shared" si="21"/>
        <v>2161</v>
      </c>
      <c r="H94" s="201">
        <f t="shared" si="21"/>
        <v>2549</v>
      </c>
      <c r="I94" s="201">
        <f t="shared" si="21"/>
        <v>2536</v>
      </c>
      <c r="J94" s="201">
        <f t="shared" si="21"/>
        <v>2534</v>
      </c>
      <c r="K94" s="201">
        <f t="shared" si="21"/>
        <v>2661</v>
      </c>
      <c r="L94" s="201">
        <f t="shared" si="21"/>
        <v>2775</v>
      </c>
      <c r="M94" s="201">
        <f t="shared" si="21"/>
        <v>2534</v>
      </c>
      <c r="N94" s="201">
        <f t="shared" si="21"/>
        <v>2549</v>
      </c>
      <c r="O94" s="201">
        <f t="shared" si="21"/>
        <v>2649</v>
      </c>
      <c r="P94" s="202">
        <f t="shared" si="21"/>
        <v>0</v>
      </c>
      <c r="Q94" s="73">
        <f t="shared" si="20"/>
        <v>27643</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4" t="str">
        <f>'Subcases Monthly'!C97:D97</f>
        <v>Simplified Dissolution (SRS)</v>
      </c>
      <c r="D97" s="475"/>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76</v>
      </c>
      <c r="K97" s="93">
        <f>IF('Subcases Monthly'!K97="","",('Subcases Monthly'!K97*'Subcases Weighted Total (Auto)'!$R97))</f>
        <v>60</v>
      </c>
      <c r="L97" s="93">
        <f>IF('Subcases Monthly'!L97="","",('Subcases Monthly'!L97*'Subcases Weighted Total (Auto)'!$R97))</f>
        <v>72</v>
      </c>
      <c r="M97" s="93">
        <f>IF('Subcases Monthly'!M97="","",('Subcases Monthly'!M97*'Subcases Weighted Total (Auto)'!$R97))</f>
        <v>72</v>
      </c>
      <c r="N97" s="93">
        <f>IF('Subcases Monthly'!N97="","",('Subcases Monthly'!N97*'Subcases Weighted Total (Auto)'!$R97))</f>
        <v>52</v>
      </c>
      <c r="O97" s="93">
        <f>IF('Subcases Monthly'!O97="","",('Subcases Monthly'!O97*'Subcases Weighted Total (Auto)'!$R97))</f>
        <v>40</v>
      </c>
      <c r="P97" s="94">
        <f>IF('Subcases Monthly'!P97="","",('Subcases Monthly'!P97*'Subcases Weighted Total (Auto)'!$R97))</f>
        <v>0</v>
      </c>
      <c r="Q97" s="63">
        <f t="shared" ref="Q97:Q108" si="23">SUM(E97:P97)</f>
        <v>776</v>
      </c>
      <c r="R97" s="203">
        <f>LookupData!$A$162</f>
        <v>4</v>
      </c>
      <c r="S97" s="4"/>
    </row>
    <row r="98" spans="1:19" ht="20.100000000000001" customHeight="1" x14ac:dyDescent="0.2">
      <c r="A98" s="8"/>
      <c r="B98" s="190" t="str">
        <f>IF('Subcases Monthly'!B98="","",'Subcases Monthly'!B98)</f>
        <v/>
      </c>
      <c r="C98" s="461" t="str">
        <f>'Subcases Monthly'!C98:D98</f>
        <v>Dissolution (SRS)</v>
      </c>
      <c r="D98" s="462"/>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1413</v>
      </c>
      <c r="K98" s="96">
        <f>IF('Subcases Monthly'!K98="","",('Subcases Monthly'!K98*'Subcases Weighted Total (Auto)'!$R98))</f>
        <v>1647</v>
      </c>
      <c r="L98" s="96">
        <f>IF('Subcases Monthly'!L98="","",('Subcases Monthly'!L98*'Subcases Weighted Total (Auto)'!$R98))</f>
        <v>1386</v>
      </c>
      <c r="M98" s="96">
        <f>IF('Subcases Monthly'!M98="","",('Subcases Monthly'!M98*'Subcases Weighted Total (Auto)'!$R98))</f>
        <v>1422</v>
      </c>
      <c r="N98" s="96">
        <f>IF('Subcases Monthly'!N98="","",('Subcases Monthly'!N98*'Subcases Weighted Total (Auto)'!$R98))</f>
        <v>1476</v>
      </c>
      <c r="O98" s="96">
        <f>IF('Subcases Monthly'!O98="","",('Subcases Monthly'!O98*'Subcases Weighted Total (Auto)'!$R98))</f>
        <v>1179</v>
      </c>
      <c r="P98" s="97">
        <f>IF('Subcases Monthly'!P98="","",('Subcases Monthly'!P98*'Subcases Weighted Total (Auto)'!$R98))</f>
        <v>0</v>
      </c>
      <c r="Q98" s="65">
        <f t="shared" si="23"/>
        <v>14715</v>
      </c>
      <c r="R98" s="204">
        <f>LookupData!$A$163</f>
        <v>9</v>
      </c>
      <c r="S98" s="4"/>
    </row>
    <row r="99" spans="1:19" ht="20.100000000000001" customHeight="1" x14ac:dyDescent="0.2">
      <c r="A99" s="8"/>
      <c r="B99" s="190" t="str">
        <f>IF('Subcases Monthly'!B99="","",'Subcases Monthly'!B99)</f>
        <v/>
      </c>
      <c r="C99" s="461" t="str">
        <f>'Subcases Monthly'!C99:D99</f>
        <v>Injunctions for Protection (SRS)</v>
      </c>
      <c r="D99" s="462"/>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984</v>
      </c>
      <c r="K99" s="99">
        <f>IF('Subcases Monthly'!K99="","",('Subcases Monthly'!K99*'Subcases Weighted Total (Auto)'!$R99))</f>
        <v>984</v>
      </c>
      <c r="L99" s="99">
        <f>IF('Subcases Monthly'!L99="","",('Subcases Monthly'!L99*'Subcases Weighted Total (Auto)'!$R99))</f>
        <v>870</v>
      </c>
      <c r="M99" s="99">
        <f>IF('Subcases Monthly'!M99="","",('Subcases Monthly'!M99*'Subcases Weighted Total (Auto)'!$R99))</f>
        <v>1014</v>
      </c>
      <c r="N99" s="99">
        <f>IF('Subcases Monthly'!N99="","",('Subcases Monthly'!N99*'Subcases Weighted Total (Auto)'!$R99))</f>
        <v>1104</v>
      </c>
      <c r="O99" s="99">
        <f>IF('Subcases Monthly'!O99="","",('Subcases Monthly'!O99*'Subcases Weighted Total (Auto)'!$R99))</f>
        <v>996</v>
      </c>
      <c r="P99" s="100">
        <f>IF('Subcases Monthly'!P99="","",('Subcases Monthly'!P99*'Subcases Weighted Total (Auto)'!$R99))</f>
        <v>0</v>
      </c>
      <c r="Q99" s="65">
        <f t="shared" si="23"/>
        <v>10428</v>
      </c>
      <c r="R99" s="204">
        <f>LookupData!$A$164</f>
        <v>6</v>
      </c>
      <c r="S99" s="4"/>
    </row>
    <row r="100" spans="1:19" ht="20.100000000000001" customHeight="1" x14ac:dyDescent="0.2">
      <c r="A100" s="8"/>
      <c r="B100" s="190" t="str">
        <f>IF('Subcases Monthly'!B100="","",'Subcases Monthly'!B100)</f>
        <v/>
      </c>
      <c r="C100" s="461" t="str">
        <f>'Subcases Monthly'!C100:D100</f>
        <v>Support (IV-D and Non IV-D) (SRS)</v>
      </c>
      <c r="D100" s="462"/>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88</v>
      </c>
      <c r="K100" s="96">
        <f>IF('Subcases Monthly'!K100="","",('Subcases Monthly'!K100*'Subcases Weighted Total (Auto)'!$R100))</f>
        <v>88</v>
      </c>
      <c r="L100" s="96">
        <f>IF('Subcases Monthly'!L100="","",('Subcases Monthly'!L100*'Subcases Weighted Total (Auto)'!$R100))</f>
        <v>56</v>
      </c>
      <c r="M100" s="96">
        <f>IF('Subcases Monthly'!M100="","",('Subcases Monthly'!M100*'Subcases Weighted Total (Auto)'!$R100))</f>
        <v>144</v>
      </c>
      <c r="N100" s="96">
        <f>IF('Subcases Monthly'!N100="","",('Subcases Monthly'!N100*'Subcases Weighted Total (Auto)'!$R100))</f>
        <v>120</v>
      </c>
      <c r="O100" s="96">
        <f>IF('Subcases Monthly'!O100="","",('Subcases Monthly'!O100*'Subcases Weighted Total (Auto)'!$R100))</f>
        <v>112</v>
      </c>
      <c r="P100" s="97">
        <f>IF('Subcases Monthly'!P100="","",('Subcases Monthly'!P100*'Subcases Weighted Total (Auto)'!$R100))</f>
        <v>0</v>
      </c>
      <c r="Q100" s="65">
        <f t="shared" si="23"/>
        <v>976</v>
      </c>
      <c r="R100" s="204">
        <f>LookupData!$A$165</f>
        <v>8</v>
      </c>
      <c r="S100" s="4"/>
    </row>
    <row r="101" spans="1:19" ht="20.100000000000001" customHeight="1" x14ac:dyDescent="0.2">
      <c r="A101" s="8"/>
      <c r="B101" s="190" t="str">
        <f>IF('Subcases Monthly'!B101="","",'Subcases Monthly'!B101)</f>
        <v/>
      </c>
      <c r="C101" s="461" t="str">
        <f>'Subcases Monthly'!C101:D101</f>
        <v>UIFSA (IV-D and Non IV-D) (SRS)</v>
      </c>
      <c r="D101" s="462"/>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12</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60</v>
      </c>
      <c r="R101" s="204">
        <f>LookupData!$A$166</f>
        <v>6</v>
      </c>
      <c r="S101" s="4"/>
    </row>
    <row r="102" spans="1:19" ht="20.100000000000001" customHeight="1" x14ac:dyDescent="0.2">
      <c r="A102" s="8"/>
      <c r="B102" s="190" t="str">
        <f>IF('Subcases Monthly'!B102="","",'Subcases Monthly'!B102)</f>
        <v/>
      </c>
      <c r="C102" s="461" t="str">
        <f>'Subcases Monthly'!C102:D102</f>
        <v>Other Family Court (SRS)</v>
      </c>
      <c r="D102" s="462"/>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60</v>
      </c>
      <c r="K102" s="96">
        <f>IF('Subcases Monthly'!K102="","",('Subcases Monthly'!K102*'Subcases Weighted Total (Auto)'!$R102))</f>
        <v>55</v>
      </c>
      <c r="L102" s="96">
        <f>IF('Subcases Monthly'!L102="","",('Subcases Monthly'!L102*'Subcases Weighted Total (Auto)'!$R102))</f>
        <v>115</v>
      </c>
      <c r="M102" s="96">
        <f>IF('Subcases Monthly'!M102="","",('Subcases Monthly'!M102*'Subcases Weighted Total (Auto)'!$R102))</f>
        <v>95</v>
      </c>
      <c r="N102" s="96">
        <f>IF('Subcases Monthly'!N102="","",('Subcases Monthly'!N102*'Subcases Weighted Total (Auto)'!$R102))</f>
        <v>85</v>
      </c>
      <c r="O102" s="96">
        <f>IF('Subcases Monthly'!O102="","",('Subcases Monthly'!O102*'Subcases Weighted Total (Auto)'!$R102))</f>
        <v>70</v>
      </c>
      <c r="P102" s="97">
        <f>IF('Subcases Monthly'!P102="","",('Subcases Monthly'!P102*'Subcases Weighted Total (Auto)'!$R102))</f>
        <v>0</v>
      </c>
      <c r="Q102" s="65">
        <f t="shared" si="23"/>
        <v>800</v>
      </c>
      <c r="R102" s="204">
        <f>LookupData!$A$167</f>
        <v>5</v>
      </c>
      <c r="S102" s="4"/>
    </row>
    <row r="103" spans="1:19" ht="20.100000000000001" customHeight="1" x14ac:dyDescent="0.2">
      <c r="A103" s="8"/>
      <c r="B103" s="190" t="str">
        <f>IF('Subcases Monthly'!B103="","",'Subcases Monthly'!B103)</f>
        <v/>
      </c>
      <c r="C103" s="461" t="str">
        <f>'Subcases Monthly'!C103:D103</f>
        <v>Adoption Arising out of Chapter 63 (SRS)</v>
      </c>
      <c r="D103" s="462"/>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52</v>
      </c>
      <c r="K103" s="99">
        <f>IF('Subcases Monthly'!K103="","",('Subcases Monthly'!K103*'Subcases Weighted Total (Auto)'!$R103))</f>
        <v>64</v>
      </c>
      <c r="L103" s="99">
        <f>IF('Subcases Monthly'!L103="","",('Subcases Monthly'!L103*'Subcases Weighted Total (Auto)'!$R103))</f>
        <v>64</v>
      </c>
      <c r="M103" s="99">
        <f>IF('Subcases Monthly'!M103="","",('Subcases Monthly'!M103*'Subcases Weighted Total (Auto)'!$R103))</f>
        <v>64</v>
      </c>
      <c r="N103" s="99">
        <f>IF('Subcases Monthly'!N103="","",('Subcases Monthly'!N103*'Subcases Weighted Total (Auto)'!$R103))</f>
        <v>56</v>
      </c>
      <c r="O103" s="99">
        <f>IF('Subcases Monthly'!O103="","",('Subcases Monthly'!O103*'Subcases Weighted Total (Auto)'!$R103))</f>
        <v>76</v>
      </c>
      <c r="P103" s="100">
        <f>IF('Subcases Monthly'!P103="","",('Subcases Monthly'!P103*'Subcases Weighted Total (Auto)'!$R103))</f>
        <v>0</v>
      </c>
      <c r="Q103" s="65">
        <f t="shared" si="23"/>
        <v>708</v>
      </c>
      <c r="R103" s="204">
        <f>LookupData!$A$168</f>
        <v>4</v>
      </c>
      <c r="S103" s="4"/>
    </row>
    <row r="104" spans="1:19" ht="20.100000000000001" customHeight="1" x14ac:dyDescent="0.2">
      <c r="A104" s="8"/>
      <c r="B104" s="190" t="str">
        <f>IF('Subcases Monthly'!B104="","",'Subcases Monthly'!B104)</f>
        <v/>
      </c>
      <c r="C104" s="461" t="str">
        <f>'Subcases Monthly'!C104:D104</f>
        <v>Name Change (SRS)</v>
      </c>
      <c r="D104" s="462"/>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150</v>
      </c>
      <c r="K104" s="96">
        <f>IF('Subcases Monthly'!K104="","",('Subcases Monthly'!K104*'Subcases Weighted Total (Auto)'!$R104))</f>
        <v>140</v>
      </c>
      <c r="L104" s="96">
        <f>IF('Subcases Monthly'!L104="","",('Subcases Monthly'!L104*'Subcases Weighted Total (Auto)'!$R104))</f>
        <v>115</v>
      </c>
      <c r="M104" s="96">
        <f>IF('Subcases Monthly'!M104="","",('Subcases Monthly'!M104*'Subcases Weighted Total (Auto)'!$R104))</f>
        <v>110</v>
      </c>
      <c r="N104" s="96">
        <f>IF('Subcases Monthly'!N104="","",('Subcases Monthly'!N104*'Subcases Weighted Total (Auto)'!$R104))</f>
        <v>130</v>
      </c>
      <c r="O104" s="96">
        <f>IF('Subcases Monthly'!O104="","",('Subcases Monthly'!O104*'Subcases Weighted Total (Auto)'!$R104))</f>
        <v>110</v>
      </c>
      <c r="P104" s="97">
        <f>IF('Subcases Monthly'!P104="","",('Subcases Monthly'!P104*'Subcases Weighted Total (Auto)'!$R104))</f>
        <v>0</v>
      </c>
      <c r="Q104" s="65">
        <f t="shared" si="23"/>
        <v>1365</v>
      </c>
      <c r="R104" s="204">
        <f>LookupData!$A$169</f>
        <v>5</v>
      </c>
      <c r="S104" s="4"/>
    </row>
    <row r="105" spans="1:19" ht="20.100000000000001" customHeight="1" x14ac:dyDescent="0.2">
      <c r="A105" s="8"/>
      <c r="B105" s="190" t="str">
        <f>IF('Subcases Monthly'!B105="","",'Subcases Monthly'!B105)</f>
        <v/>
      </c>
      <c r="C105" s="461" t="str">
        <f>'Subcases Monthly'!C105:D105</f>
        <v>Paternity/Disestablishment of Paternity (SRS)</v>
      </c>
      <c r="D105" s="462"/>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280</v>
      </c>
      <c r="K105" s="99">
        <f>IF('Subcases Monthly'!K105="","",('Subcases Monthly'!K105*'Subcases Weighted Total (Auto)'!$R105))</f>
        <v>203</v>
      </c>
      <c r="L105" s="99">
        <f>IF('Subcases Monthly'!L105="","",('Subcases Monthly'!L105*'Subcases Weighted Total (Auto)'!$R105))</f>
        <v>196</v>
      </c>
      <c r="M105" s="99">
        <f>IF('Subcases Monthly'!M105="","",('Subcases Monthly'!M105*'Subcases Weighted Total (Auto)'!$R105))</f>
        <v>231</v>
      </c>
      <c r="N105" s="99">
        <f>IF('Subcases Monthly'!N105="","",('Subcases Monthly'!N105*'Subcases Weighted Total (Auto)'!$R105))</f>
        <v>252</v>
      </c>
      <c r="O105" s="99">
        <f>IF('Subcases Monthly'!O105="","",('Subcases Monthly'!O105*'Subcases Weighted Total (Auto)'!$R105))</f>
        <v>357</v>
      </c>
      <c r="P105" s="100">
        <f>IF('Subcases Monthly'!P105="","",('Subcases Monthly'!P105*'Subcases Weighted Total (Auto)'!$R105))</f>
        <v>0</v>
      </c>
      <c r="Q105" s="65">
        <f t="shared" si="23"/>
        <v>2471</v>
      </c>
      <c r="R105" s="204">
        <f>LookupData!$A$170</f>
        <v>7</v>
      </c>
      <c r="S105" s="4"/>
    </row>
    <row r="106" spans="1:19" ht="20.100000000000001" customHeight="1" x14ac:dyDescent="0.2">
      <c r="A106" s="8"/>
      <c r="B106" s="190" t="str">
        <f>IF('Subcases Monthly'!B106="","",'Subcases Monthly'!B106)</f>
        <v/>
      </c>
      <c r="C106" s="461" t="str">
        <f>'Subcases Monthly'!C106:D106</f>
        <v>New Cases (Non-SRS)</v>
      </c>
      <c r="D106" s="462"/>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88</v>
      </c>
      <c r="K106" s="96">
        <f>IF('Subcases Monthly'!K106="","",('Subcases Monthly'!K106*'Subcases Weighted Total (Auto)'!$R106))</f>
        <v>80</v>
      </c>
      <c r="L106" s="96">
        <f>IF('Subcases Monthly'!L106="","",('Subcases Monthly'!L106*'Subcases Weighted Total (Auto)'!$R106))</f>
        <v>70</v>
      </c>
      <c r="M106" s="96">
        <f>IF('Subcases Monthly'!M106="","",('Subcases Monthly'!M106*'Subcases Weighted Total (Auto)'!$R106))</f>
        <v>78</v>
      </c>
      <c r="N106" s="96">
        <f>IF('Subcases Monthly'!N106="","",('Subcases Monthly'!N106*'Subcases Weighted Total (Auto)'!$R106))</f>
        <v>100</v>
      </c>
      <c r="O106" s="96">
        <f>IF('Subcases Monthly'!O106="","",('Subcases Monthly'!O106*'Subcases Weighted Total (Auto)'!$R106))</f>
        <v>88</v>
      </c>
      <c r="P106" s="97">
        <f>IF('Subcases Monthly'!P106="","",('Subcases Monthly'!P106*'Subcases Weighted Total (Auto)'!$R106))</f>
        <v>0</v>
      </c>
      <c r="Q106" s="67">
        <f t="shared" si="23"/>
        <v>918</v>
      </c>
      <c r="R106" s="238">
        <f>LookupData!$A$171</f>
        <v>2</v>
      </c>
      <c r="S106" s="4"/>
    </row>
    <row r="107" spans="1:19" ht="20.100000000000001" customHeight="1" thickBot="1" x14ac:dyDescent="0.25">
      <c r="A107" s="8"/>
      <c r="B107" s="191"/>
      <c r="C107" s="469" t="str">
        <f>'Subcases Monthly'!C107:D107</f>
        <v>Cases unable to be categorized</v>
      </c>
      <c r="D107" s="470"/>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1" t="str">
        <f>'Subcases Monthly'!C108:D108</f>
        <v>Total Family =</v>
      </c>
      <c r="D108" s="472"/>
      <c r="E108" s="200">
        <f>SUM(E97:E107)</f>
        <v>3064</v>
      </c>
      <c r="F108" s="201">
        <f t="shared" ref="F108:P108" si="24">SUM(F97:F107)</f>
        <v>2648</v>
      </c>
      <c r="G108" s="201">
        <f t="shared" si="24"/>
        <v>2576</v>
      </c>
      <c r="H108" s="201">
        <f t="shared" si="24"/>
        <v>3052</v>
      </c>
      <c r="I108" s="201">
        <f t="shared" si="24"/>
        <v>2776</v>
      </c>
      <c r="J108" s="201">
        <f t="shared" si="24"/>
        <v>3191</v>
      </c>
      <c r="K108" s="201">
        <f t="shared" si="24"/>
        <v>3321</v>
      </c>
      <c r="L108" s="201">
        <f t="shared" si="24"/>
        <v>2944</v>
      </c>
      <c r="M108" s="201">
        <f t="shared" si="24"/>
        <v>3242</v>
      </c>
      <c r="N108" s="201">
        <f t="shared" si="24"/>
        <v>3375</v>
      </c>
      <c r="O108" s="201">
        <f t="shared" si="24"/>
        <v>3028</v>
      </c>
      <c r="P108" s="202">
        <f t="shared" si="24"/>
        <v>0</v>
      </c>
      <c r="Q108" s="69">
        <f t="shared" si="23"/>
        <v>33217</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4" t="str">
        <f>'Subcases Monthly'!C111:D111</f>
        <v>Dependency Initiating Petitions (SRS)</v>
      </c>
      <c r="D111" s="475"/>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171</v>
      </c>
      <c r="K111" s="93">
        <f>IF('Subcases Monthly'!K111="","",('Subcases Monthly'!K111*'Subcases Weighted Total (Auto)'!$R111))</f>
        <v>126</v>
      </c>
      <c r="L111" s="93">
        <f>IF('Subcases Monthly'!L111="","",('Subcases Monthly'!L111*'Subcases Weighted Total (Auto)'!$R111))</f>
        <v>108</v>
      </c>
      <c r="M111" s="93">
        <f>IF('Subcases Monthly'!M111="","",('Subcases Monthly'!M111*'Subcases Weighted Total (Auto)'!$R111))</f>
        <v>117</v>
      </c>
      <c r="N111" s="93">
        <f>IF('Subcases Monthly'!N111="","",('Subcases Monthly'!N111*'Subcases Weighted Total (Auto)'!$R111))</f>
        <v>216</v>
      </c>
      <c r="O111" s="93">
        <f>IF('Subcases Monthly'!O111="","",('Subcases Monthly'!O111*'Subcases Weighted Total (Auto)'!$R111))</f>
        <v>144</v>
      </c>
      <c r="P111" s="94">
        <f>IF('Subcases Monthly'!P111="","",('Subcases Monthly'!P111*'Subcases Weighted Total (Auto)'!$R111))</f>
        <v>0</v>
      </c>
      <c r="Q111" s="63">
        <f t="shared" ref="Q111:Q120" si="26">SUM(E111:P111)</f>
        <v>1539</v>
      </c>
      <c r="R111" s="203">
        <f>LookupData!$A$174</f>
        <v>9</v>
      </c>
      <c r="S111" s="4"/>
    </row>
    <row r="112" spans="1:19" ht="20.100000000000001" customHeight="1" x14ac:dyDescent="0.2">
      <c r="B112" s="190" t="str">
        <f>IF('Subcases Monthly'!B112="","",'Subcases Monthly'!B112)</f>
        <v/>
      </c>
      <c r="C112" s="461" t="str">
        <f>'Subcases Monthly'!C112:D112</f>
        <v>Petitions to Remove Disabilities of Non-Age Minors (743.015) (SRS)</v>
      </c>
      <c r="D112" s="462"/>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3</v>
      </c>
      <c r="P112" s="97">
        <f>IF('Subcases Monthly'!P112="","",('Subcases Monthly'!P112*'Subcases Weighted Total (Auto)'!$R112))</f>
        <v>0</v>
      </c>
      <c r="Q112" s="65">
        <f t="shared" si="26"/>
        <v>6</v>
      </c>
      <c r="R112" s="204">
        <f>LookupData!$A$175</f>
        <v>3</v>
      </c>
      <c r="S112" s="4"/>
    </row>
    <row r="113" spans="1:19" ht="20.100000000000001" customHeight="1" x14ac:dyDescent="0.2">
      <c r="B113" s="190" t="str">
        <f>IF('Subcases Monthly'!B113="","",'Subcases Monthly'!B113)</f>
        <v/>
      </c>
      <c r="C113" s="461" t="str">
        <f>'Subcases Monthly'!C113:D113</f>
        <v>CINS/FINS (SRS)</v>
      </c>
      <c r="D113" s="462"/>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61" t="str">
        <f>'Subcases Monthly'!C114:D114</f>
        <v>Parental Notice of Abortion Act (SRS)</v>
      </c>
      <c r="D114" s="462"/>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61" t="str">
        <f>'Subcases Monthly'!C115:D115</f>
        <v>Truancy (Non-SRS)</v>
      </c>
      <c r="D115" s="462"/>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12</v>
      </c>
      <c r="K115" s="99">
        <f>IF('Subcases Monthly'!K115="","",('Subcases Monthly'!K115*'Subcases Weighted Total (Auto)'!$R115))</f>
        <v>24</v>
      </c>
      <c r="L115" s="99">
        <f>IF('Subcases Monthly'!L115="","",('Subcases Monthly'!L115*'Subcases Weighted Total (Auto)'!$R115))</f>
        <v>24</v>
      </c>
      <c r="M115" s="99">
        <f>IF('Subcases Monthly'!M115="","",('Subcases Monthly'!M115*'Subcases Weighted Total (Auto)'!$R115))</f>
        <v>0</v>
      </c>
      <c r="N115" s="99">
        <f>IF('Subcases Monthly'!N115="","",('Subcases Monthly'!N115*'Subcases Weighted Total (Auto)'!$R115))</f>
        <v>8</v>
      </c>
      <c r="O115" s="99">
        <f>IF('Subcases Monthly'!O115="","",('Subcases Monthly'!O115*'Subcases Weighted Total (Auto)'!$R115))</f>
        <v>0</v>
      </c>
      <c r="P115" s="100">
        <f>IF('Subcases Monthly'!P115="","",('Subcases Monthly'!P115*'Subcases Weighted Total (Auto)'!$R115))</f>
        <v>0</v>
      </c>
      <c r="Q115" s="65">
        <f t="shared" si="26"/>
        <v>144</v>
      </c>
      <c r="R115" s="204">
        <f>LookupData!$A$178</f>
        <v>4</v>
      </c>
      <c r="S115" s="4"/>
    </row>
    <row r="116" spans="1:19" ht="20.100000000000001" customHeight="1" x14ac:dyDescent="0.2">
      <c r="B116" s="190" t="str">
        <f>IF('Subcases Monthly'!B116="","",'Subcases Monthly'!B116)</f>
        <v/>
      </c>
      <c r="C116" s="461" t="str">
        <f>'Subcases Monthly'!C116:D116</f>
        <v>Transfers for Jurisdiction/Supervision Only (Non-SRS)</v>
      </c>
      <c r="D116" s="462"/>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61" t="str">
        <f>'Subcases Monthly'!C117:D117</f>
        <v>DCF Dependency Petition for Injunction per Chapter 39 (Non-SRS)</v>
      </c>
      <c r="D117" s="462"/>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4</v>
      </c>
      <c r="P117" s="100">
        <f>IF('Subcases Monthly'!P117="","",('Subcases Monthly'!P117*'Subcases Weighted Total (Auto)'!$R117))</f>
        <v>0</v>
      </c>
      <c r="Q117" s="66">
        <f t="shared" si="26"/>
        <v>4</v>
      </c>
      <c r="R117" s="204">
        <f>LookupData!$A$180</f>
        <v>4</v>
      </c>
      <c r="S117" s="4"/>
    </row>
    <row r="118" spans="1:19" ht="20.100000000000001" customHeight="1" x14ac:dyDescent="0.2">
      <c r="B118" s="190" t="str">
        <f>IF('Subcases Monthly'!B118="","",'Subcases Monthly'!B118)</f>
        <v/>
      </c>
      <c r="C118" s="461" t="str">
        <f>'Subcases Monthly'!C118:D118</f>
        <v>Other New Cases (Non-SRS)</v>
      </c>
      <c r="D118" s="462"/>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69" t="str">
        <f>'Subcases Monthly'!C119:D119</f>
        <v>Cases unable to be categorized</v>
      </c>
      <c r="D119" s="470"/>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1" t="str">
        <f>'Subcases Monthly'!C120:D120</f>
        <v>Total Juvenile Dependency =</v>
      </c>
      <c r="D120" s="472"/>
      <c r="E120" s="200">
        <f>SUM(E111:E119)</f>
        <v>147</v>
      </c>
      <c r="F120" s="201">
        <f t="shared" ref="F120:P120" si="27">SUM(F111:F119)</f>
        <v>170</v>
      </c>
      <c r="G120" s="201">
        <f t="shared" si="27"/>
        <v>187</v>
      </c>
      <c r="H120" s="201">
        <f t="shared" si="27"/>
        <v>98</v>
      </c>
      <c r="I120" s="201">
        <f t="shared" si="27"/>
        <v>137</v>
      </c>
      <c r="J120" s="201">
        <f t="shared" si="27"/>
        <v>183</v>
      </c>
      <c r="K120" s="201">
        <f t="shared" si="27"/>
        <v>150</v>
      </c>
      <c r="L120" s="201">
        <f t="shared" si="27"/>
        <v>132</v>
      </c>
      <c r="M120" s="201">
        <f t="shared" si="27"/>
        <v>117</v>
      </c>
      <c r="N120" s="201">
        <f t="shared" si="27"/>
        <v>224</v>
      </c>
      <c r="O120" s="201">
        <f t="shared" si="27"/>
        <v>151</v>
      </c>
      <c r="P120" s="202">
        <f t="shared" si="27"/>
        <v>0</v>
      </c>
      <c r="Q120" s="110">
        <f t="shared" si="26"/>
        <v>1696</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67" t="str">
        <f>'Subcases Monthly'!C123:D123</f>
        <v>Uniform Traffic Citations</v>
      </c>
      <c r="D123" s="468"/>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7828.5</v>
      </c>
      <c r="K123" s="183">
        <f>IF('Subcases Monthly'!K123="","",('Subcases Monthly'!K123*'Subcases Weighted Total (Auto)'!$R123))</f>
        <v>7525.5</v>
      </c>
      <c r="L123" s="183">
        <f>IF('Subcases Monthly'!L123="","",('Subcases Monthly'!L123*'Subcases Weighted Total (Auto)'!$R123))</f>
        <v>8649</v>
      </c>
      <c r="M123" s="183">
        <f>IF('Subcases Monthly'!M123="","",('Subcases Monthly'!M123*'Subcases Weighted Total (Auto)'!$R123))</f>
        <v>7248</v>
      </c>
      <c r="N123" s="183">
        <f>IF('Subcases Monthly'!N123="","",('Subcases Monthly'!N123*'Subcases Weighted Total (Auto)'!$R123))</f>
        <v>7110</v>
      </c>
      <c r="O123" s="183">
        <f>IF('Subcases Monthly'!O123="","",('Subcases Monthly'!O123*'Subcases Weighted Total (Auto)'!$R123))</f>
        <v>6838.5</v>
      </c>
      <c r="P123" s="184">
        <f>IF('Subcases Monthly'!P123="","",('Subcases Monthly'!P123*'Subcases Weighted Total (Auto)'!$R123))</f>
        <v>0</v>
      </c>
      <c r="Q123" s="185">
        <f t="shared" ref="Q123:Q124" si="29">SUM(E123:P123)</f>
        <v>75138</v>
      </c>
      <c r="R123" s="181">
        <f>LookupData!$A$184</f>
        <v>1.5</v>
      </c>
      <c r="S123" s="4"/>
    </row>
    <row r="124" spans="1:19" ht="20.100000000000001" customHeight="1" thickTop="1" thickBot="1" x14ac:dyDescent="0.25">
      <c r="B124" s="194" t="str">
        <f>IF('Subcases Monthly'!B124="","",'Subcases Monthly'!B124)</f>
        <v/>
      </c>
      <c r="C124" s="465" t="str">
        <f>'Subcases Monthly'!C124:D124</f>
        <v>Total Civil Traffic - UTCs =</v>
      </c>
      <c r="D124" s="466"/>
      <c r="E124" s="76">
        <f t="shared" ref="E124:P124" si="30">SUM(E123:E123)</f>
        <v>4890</v>
      </c>
      <c r="F124" s="64">
        <f t="shared" si="30"/>
        <v>5538</v>
      </c>
      <c r="G124" s="64">
        <f t="shared" si="30"/>
        <v>5649</v>
      </c>
      <c r="H124" s="64">
        <f t="shared" si="30"/>
        <v>7326</v>
      </c>
      <c r="I124" s="64">
        <f t="shared" si="30"/>
        <v>6535.5</v>
      </c>
      <c r="J124" s="64">
        <f t="shared" si="30"/>
        <v>7828.5</v>
      </c>
      <c r="K124" s="64">
        <f t="shared" si="30"/>
        <v>7525.5</v>
      </c>
      <c r="L124" s="64">
        <f t="shared" si="30"/>
        <v>8649</v>
      </c>
      <c r="M124" s="64">
        <f t="shared" si="30"/>
        <v>7248</v>
      </c>
      <c r="N124" s="64">
        <f t="shared" si="30"/>
        <v>7110</v>
      </c>
      <c r="O124" s="64">
        <f t="shared" si="30"/>
        <v>6838.5</v>
      </c>
      <c r="P124" s="77">
        <f t="shared" si="30"/>
        <v>0</v>
      </c>
      <c r="Q124" s="110">
        <f t="shared" si="29"/>
        <v>75138</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August</v>
      </c>
      <c r="C9" s="43" t="str">
        <f>IF('Subcases Monthly'!H4="",TEXT(EDATE(B5,-1),"MMMM"),'Subcases Monthly'!H4)</f>
        <v>August</v>
      </c>
      <c r="G9" s="47">
        <v>8</v>
      </c>
      <c r="L9" s="48"/>
    </row>
    <row r="10" spans="1:15" x14ac:dyDescent="0.25">
      <c r="A10" s="49" t="s">
        <v>115</v>
      </c>
      <c r="B10" s="43" t="str">
        <f>E1&amp;" "&amp;B1&amp;" "&amp;B9&amp;" Ver"&amp;B8&amp;" "&amp;TEXT(B5,"Mmddyy")&amp;".xlsx"</f>
        <v>Brevard Outputs August VerCarol Vail  012025.xlsx</v>
      </c>
      <c r="G10" s="47">
        <v>9</v>
      </c>
      <c r="L10" s="48"/>
    </row>
    <row r="11" spans="1:15" x14ac:dyDescent="0.25">
      <c r="A11" s="49" t="s">
        <v>117</v>
      </c>
      <c r="B11" s="43" t="str">
        <f>"R:\!CFY"&amp;(N2-2000)&amp;""&amp;(N2-1999)&amp;"\Incoming Reports\Outputs\"&amp;B9&amp;"\"</f>
        <v>R:\!CFY2425\Incoming Reports\Outputs\August\</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529</v>
      </c>
      <c r="M21" s="187">
        <f>'Subcases Monthly'!K11</f>
        <v>557</v>
      </c>
      <c r="N21" s="187">
        <f>'Subcases Monthly'!L11</f>
        <v>569</v>
      </c>
      <c r="O21" s="187">
        <f>'Subcases Monthly'!M11</f>
        <v>532</v>
      </c>
      <c r="P21" s="187">
        <f>'Subcases Monthly'!N11</f>
        <v>623</v>
      </c>
      <c r="Q21" s="187">
        <f>'Subcases Monthly'!O11</f>
        <v>577</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1</v>
      </c>
      <c r="O22" s="187">
        <f>'Subcases Monthly'!M12</f>
        <v>1</v>
      </c>
      <c r="P22" s="187">
        <f>'Subcases Monthly'!N12</f>
        <v>0</v>
      </c>
      <c r="Q22" s="187">
        <f>'Subcases Monthly'!O12</f>
        <v>1</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21</v>
      </c>
      <c r="M23" s="187">
        <f>'Subcases Monthly'!K13</f>
        <v>18</v>
      </c>
      <c r="N23" s="187">
        <f>'Subcases Monthly'!L13</f>
        <v>21</v>
      </c>
      <c r="O23" s="187">
        <f>'Subcases Monthly'!M13</f>
        <v>20</v>
      </c>
      <c r="P23" s="187">
        <f>'Subcases Monthly'!N13</f>
        <v>19</v>
      </c>
      <c r="Q23" s="187">
        <f>'Subcases Monthly'!O13</f>
        <v>27</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476</v>
      </c>
      <c r="M25" s="187">
        <f>'Subcases Monthly'!K18</f>
        <v>448</v>
      </c>
      <c r="N25" s="187">
        <f>'Subcases Monthly'!L18</f>
        <v>504</v>
      </c>
      <c r="O25" s="187">
        <f>'Subcases Monthly'!M18</f>
        <v>446</v>
      </c>
      <c r="P25" s="187">
        <f>'Subcases Monthly'!N18</f>
        <v>490</v>
      </c>
      <c r="Q25" s="187">
        <f>'Subcases Monthly'!O18</f>
        <v>566</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21</v>
      </c>
      <c r="M26" s="187">
        <f>'Subcases Monthly'!K19</f>
        <v>16</v>
      </c>
      <c r="N26" s="187">
        <f>'Subcases Monthly'!L19</f>
        <v>27</v>
      </c>
      <c r="O26" s="187">
        <f>'Subcases Monthly'!M19</f>
        <v>83</v>
      </c>
      <c r="P26" s="187">
        <f>'Subcases Monthly'!N19</f>
        <v>46</v>
      </c>
      <c r="Q26" s="187">
        <f>'Subcases Monthly'!O19</f>
        <v>39</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136</v>
      </c>
      <c r="M27" s="187">
        <f>'Subcases Monthly'!K20</f>
        <v>109</v>
      </c>
      <c r="N27" s="187">
        <f>'Subcases Monthly'!L20</f>
        <v>180</v>
      </c>
      <c r="O27" s="187">
        <f>'Subcases Monthly'!M20</f>
        <v>188</v>
      </c>
      <c r="P27" s="187">
        <f>'Subcases Monthly'!N20</f>
        <v>128</v>
      </c>
      <c r="Q27" s="187">
        <f>'Subcases Monthly'!O20</f>
        <v>105</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4</v>
      </c>
      <c r="M29" s="187">
        <f>'Subcases Monthly'!K22</f>
        <v>4</v>
      </c>
      <c r="N29" s="187">
        <f>'Subcases Monthly'!L22</f>
        <v>40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59</v>
      </c>
      <c r="M30" s="187">
        <f>'Subcases Monthly'!K26</f>
        <v>88</v>
      </c>
      <c r="N30" s="187">
        <f>'Subcases Monthly'!L26</f>
        <v>84</v>
      </c>
      <c r="O30" s="187">
        <f>'Subcases Monthly'!M26</f>
        <v>65</v>
      </c>
      <c r="P30" s="187">
        <f>'Subcases Monthly'!N26</f>
        <v>77</v>
      </c>
      <c r="Q30" s="187">
        <f>'Subcases Monthly'!O26</f>
        <v>83</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1</v>
      </c>
      <c r="M31" s="187">
        <f>'Subcases Monthly'!K27</f>
        <v>3</v>
      </c>
      <c r="N31" s="187">
        <f>'Subcases Monthly'!L27</f>
        <v>0</v>
      </c>
      <c r="O31" s="187">
        <f>'Subcases Monthly'!M27</f>
        <v>1</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2</v>
      </c>
      <c r="M32" s="187">
        <f>'Subcases Monthly'!K28</f>
        <v>1</v>
      </c>
      <c r="N32" s="187">
        <f>'Subcases Monthly'!L28</f>
        <v>5</v>
      </c>
      <c r="O32" s="187">
        <f>'Subcases Monthly'!M28</f>
        <v>1</v>
      </c>
      <c r="P32" s="187">
        <f>'Subcases Monthly'!N28</f>
        <v>1</v>
      </c>
      <c r="Q32" s="187">
        <f>'Subcases Monthly'!O28</f>
        <v>3</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205</v>
      </c>
      <c r="M34" s="187">
        <f>'Subcases Monthly'!K33</f>
        <v>196</v>
      </c>
      <c r="N34" s="187">
        <f>'Subcases Monthly'!L33</f>
        <v>192</v>
      </c>
      <c r="O34" s="187">
        <f>'Subcases Monthly'!M33</f>
        <v>177</v>
      </c>
      <c r="P34" s="187">
        <f>'Subcases Monthly'!N33</f>
        <v>176</v>
      </c>
      <c r="Q34" s="187">
        <f>'Subcases Monthly'!O33</f>
        <v>182</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691</v>
      </c>
      <c r="M35" s="187">
        <f>'Subcases Monthly'!K34</f>
        <v>730</v>
      </c>
      <c r="N35" s="187">
        <f>'Subcases Monthly'!L34</f>
        <v>707</v>
      </c>
      <c r="O35" s="187">
        <f>'Subcases Monthly'!M34</f>
        <v>621</v>
      </c>
      <c r="P35" s="187">
        <f>'Subcases Monthly'!N34</f>
        <v>718</v>
      </c>
      <c r="Q35" s="187">
        <f>'Subcases Monthly'!O34</f>
        <v>739</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1</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1</v>
      </c>
      <c r="M37" s="187">
        <f>'Subcases Monthly'!K39</f>
        <v>1</v>
      </c>
      <c r="N37" s="187">
        <f>'Subcases Monthly'!L39</f>
        <v>1</v>
      </c>
      <c r="O37" s="187">
        <f>'Subcases Monthly'!M39</f>
        <v>1</v>
      </c>
      <c r="P37" s="187">
        <f>'Subcases Monthly'!N39</f>
        <v>1</v>
      </c>
      <c r="Q37" s="187">
        <f>'Subcases Monthly'!O39</f>
        <v>3</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1</v>
      </c>
      <c r="M38" s="187">
        <f>'Subcases Monthly'!K40</f>
        <v>0</v>
      </c>
      <c r="N38" s="187">
        <f>'Subcases Monthly'!L40</f>
        <v>0</v>
      </c>
      <c r="O38" s="187">
        <f>'Subcases Monthly'!M40</f>
        <v>1</v>
      </c>
      <c r="P38" s="187">
        <f>'Subcases Monthly'!N40</f>
        <v>1</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116</v>
      </c>
      <c r="M39" s="187">
        <f>'Subcases Monthly'!K41</f>
        <v>97</v>
      </c>
      <c r="N39" s="187">
        <f>'Subcases Monthly'!L41</f>
        <v>118</v>
      </c>
      <c r="O39" s="187">
        <f>'Subcases Monthly'!M41</f>
        <v>107</v>
      </c>
      <c r="P39" s="187">
        <f>'Subcases Monthly'!N41</f>
        <v>116</v>
      </c>
      <c r="Q39" s="187">
        <f>'Subcases Monthly'!O41</f>
        <v>105</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4</v>
      </c>
      <c r="M40" s="187">
        <f>'Subcases Monthly'!K42</f>
        <v>2</v>
      </c>
      <c r="N40" s="187">
        <f>'Subcases Monthly'!L42</f>
        <v>0</v>
      </c>
      <c r="O40" s="187">
        <f>'Subcases Monthly'!M42</f>
        <v>2</v>
      </c>
      <c r="P40" s="187">
        <f>'Subcases Monthly'!N42</f>
        <v>1</v>
      </c>
      <c r="Q40" s="187">
        <f>'Subcases Monthly'!O42</f>
        <v>2</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39</v>
      </c>
      <c r="M41" s="187">
        <f>'Subcases Monthly'!K43</f>
        <v>44</v>
      </c>
      <c r="N41" s="187">
        <f>'Subcases Monthly'!L43</f>
        <v>47</v>
      </c>
      <c r="O41" s="187">
        <f>'Subcases Monthly'!M43</f>
        <v>51</v>
      </c>
      <c r="P41" s="187">
        <f>'Subcases Monthly'!N43</f>
        <v>50</v>
      </c>
      <c r="Q41" s="187">
        <f>'Subcases Monthly'!O43</f>
        <v>51</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2</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48</v>
      </c>
      <c r="M43" s="187">
        <f>'Subcases Monthly'!K45</f>
        <v>26</v>
      </c>
      <c r="N43" s="187">
        <f>'Subcases Monthly'!L45</f>
        <v>45</v>
      </c>
      <c r="O43" s="187">
        <f>'Subcases Monthly'!M45</f>
        <v>33</v>
      </c>
      <c r="P43" s="187">
        <f>'Subcases Monthly'!N45</f>
        <v>36</v>
      </c>
      <c r="Q43" s="187">
        <f>'Subcases Monthly'!O45</f>
        <v>36</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2</v>
      </c>
      <c r="M44" s="187">
        <f>'Subcases Monthly'!K46</f>
        <v>1</v>
      </c>
      <c r="N44" s="187">
        <f>'Subcases Monthly'!L46</f>
        <v>3</v>
      </c>
      <c r="O44" s="187">
        <f>'Subcases Monthly'!M46</f>
        <v>2</v>
      </c>
      <c r="P44" s="187">
        <f>'Subcases Monthly'!N46</f>
        <v>2</v>
      </c>
      <c r="Q44" s="187">
        <f>'Subcases Monthly'!O46</f>
        <v>6</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45</v>
      </c>
      <c r="M45" s="187">
        <f>'Subcases Monthly'!K47</f>
        <v>48</v>
      </c>
      <c r="N45" s="187">
        <f>'Subcases Monthly'!L47</f>
        <v>40</v>
      </c>
      <c r="O45" s="187">
        <f>'Subcases Monthly'!M47</f>
        <v>39</v>
      </c>
      <c r="P45" s="187">
        <f>'Subcases Monthly'!N47</f>
        <v>40</v>
      </c>
      <c r="Q45" s="187">
        <f>'Subcases Monthly'!O47</f>
        <v>44</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43</v>
      </c>
      <c r="M46" s="187">
        <f>'Subcases Monthly'!K48</f>
        <v>39</v>
      </c>
      <c r="N46" s="187">
        <f>'Subcases Monthly'!L48</f>
        <v>28</v>
      </c>
      <c r="O46" s="187">
        <f>'Subcases Monthly'!M48</f>
        <v>36</v>
      </c>
      <c r="P46" s="187">
        <f>'Subcases Monthly'!N48</f>
        <v>27</v>
      </c>
      <c r="Q46" s="187">
        <f>'Subcases Monthly'!O48</f>
        <v>34</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17</v>
      </c>
      <c r="M47" s="187">
        <f>'Subcases Monthly'!K49</f>
        <v>17</v>
      </c>
      <c r="N47" s="187">
        <f>'Subcases Monthly'!L49</f>
        <v>20</v>
      </c>
      <c r="O47" s="187">
        <f>'Subcases Monthly'!M49</f>
        <v>18</v>
      </c>
      <c r="P47" s="187">
        <f>'Subcases Monthly'!N49</f>
        <v>19</v>
      </c>
      <c r="Q47" s="187">
        <f>'Subcases Monthly'!O49</f>
        <v>19</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50</v>
      </c>
      <c r="M48" s="187">
        <f>'Subcases Monthly'!K50</f>
        <v>59</v>
      </c>
      <c r="N48" s="187">
        <f>'Subcases Monthly'!L50</f>
        <v>55</v>
      </c>
      <c r="O48" s="187">
        <f>'Subcases Monthly'!M50</f>
        <v>37</v>
      </c>
      <c r="P48" s="187">
        <f>'Subcases Monthly'!N50</f>
        <v>49</v>
      </c>
      <c r="Q48" s="187">
        <f>'Subcases Monthly'!O50</f>
        <v>28</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1</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10</v>
      </c>
      <c r="M52" s="187">
        <f>'Subcases Monthly'!K54</f>
        <v>10</v>
      </c>
      <c r="N52" s="187">
        <f>'Subcases Monthly'!L54</f>
        <v>7</v>
      </c>
      <c r="O52" s="187">
        <f>'Subcases Monthly'!M54</f>
        <v>10</v>
      </c>
      <c r="P52" s="187">
        <f>'Subcases Monthly'!N54</f>
        <v>12</v>
      </c>
      <c r="Q52" s="187">
        <f>'Subcases Monthly'!O54</f>
        <v>7</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2</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3</v>
      </c>
      <c r="M56" s="187">
        <f>'Subcases Monthly'!K58</f>
        <v>1</v>
      </c>
      <c r="N56" s="187">
        <f>'Subcases Monthly'!L58</f>
        <v>1</v>
      </c>
      <c r="O56" s="187">
        <f>'Subcases Monthly'!M58</f>
        <v>1</v>
      </c>
      <c r="P56" s="187">
        <f>'Subcases Monthly'!N58</f>
        <v>5</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599</v>
      </c>
      <c r="M58" s="187">
        <f>'Subcases Monthly'!K63</f>
        <v>575</v>
      </c>
      <c r="N58" s="187">
        <f>'Subcases Monthly'!L63</f>
        <v>653</v>
      </c>
      <c r="O58" s="187">
        <f>'Subcases Monthly'!M63</f>
        <v>543</v>
      </c>
      <c r="P58" s="187">
        <f>'Subcases Monthly'!N63</f>
        <v>716</v>
      </c>
      <c r="Q58" s="187">
        <f>'Subcases Monthly'!O63</f>
        <v>742</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152</v>
      </c>
      <c r="M59" s="187">
        <f>'Subcases Monthly'!K64</f>
        <v>176</v>
      </c>
      <c r="N59" s="187">
        <f>'Subcases Monthly'!L64</f>
        <v>184</v>
      </c>
      <c r="O59" s="187">
        <f>'Subcases Monthly'!M64</f>
        <v>182</v>
      </c>
      <c r="P59" s="187">
        <f>'Subcases Monthly'!N64</f>
        <v>167</v>
      </c>
      <c r="Q59" s="187">
        <f>'Subcases Monthly'!O64</f>
        <v>170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109</v>
      </c>
      <c r="M60" s="187">
        <f>'Subcases Monthly'!K65</f>
        <v>222</v>
      </c>
      <c r="N60" s="187">
        <f>'Subcases Monthly'!L65</f>
        <v>167</v>
      </c>
      <c r="O60" s="187">
        <f>'Subcases Monthly'!M65</f>
        <v>207</v>
      </c>
      <c r="P60" s="187">
        <f>'Subcases Monthly'!N65</f>
        <v>227</v>
      </c>
      <c r="Q60" s="187">
        <f>'Subcases Monthly'!O65</f>
        <v>217</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58</v>
      </c>
      <c r="M61" s="187">
        <f>'Subcases Monthly'!K66</f>
        <v>119</v>
      </c>
      <c r="N61" s="187">
        <f>'Subcases Monthly'!L66</f>
        <v>85</v>
      </c>
      <c r="O61" s="187">
        <f>'Subcases Monthly'!M66</f>
        <v>84</v>
      </c>
      <c r="P61" s="187">
        <f>'Subcases Monthly'!N66</f>
        <v>100</v>
      </c>
      <c r="Q61" s="187">
        <f>'Subcases Monthly'!O66</f>
        <v>115</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34</v>
      </c>
      <c r="M62" s="187">
        <f>'Subcases Monthly'!K67</f>
        <v>31</v>
      </c>
      <c r="N62" s="187">
        <f>'Subcases Monthly'!L67</f>
        <v>40</v>
      </c>
      <c r="O62" s="187">
        <f>'Subcases Monthly'!M67</f>
        <v>22</v>
      </c>
      <c r="P62" s="187">
        <f>'Subcases Monthly'!N67</f>
        <v>37</v>
      </c>
      <c r="Q62" s="187">
        <f>'Subcases Monthly'!O67</f>
        <v>31</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5</v>
      </c>
      <c r="M63" s="187">
        <f>'Subcases Monthly'!K68</f>
        <v>4</v>
      </c>
      <c r="N63" s="187">
        <f>'Subcases Monthly'!L68</f>
        <v>7</v>
      </c>
      <c r="O63" s="187">
        <f>'Subcases Monthly'!M68</f>
        <v>7</v>
      </c>
      <c r="P63" s="187">
        <f>'Subcases Monthly'!N68</f>
        <v>6</v>
      </c>
      <c r="Q63" s="187">
        <f>'Subcases Monthly'!O68</f>
        <v>1</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266</v>
      </c>
      <c r="M64" s="187">
        <f>'Subcases Monthly'!K69</f>
        <v>249</v>
      </c>
      <c r="N64" s="187">
        <f>'Subcases Monthly'!L69</f>
        <v>242</v>
      </c>
      <c r="O64" s="187">
        <f>'Subcases Monthly'!M69</f>
        <v>286</v>
      </c>
      <c r="P64" s="187">
        <f>'Subcases Monthly'!N69</f>
        <v>250</v>
      </c>
      <c r="Q64" s="187">
        <f>'Subcases Monthly'!O69</f>
        <v>262</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6</v>
      </c>
      <c r="M65" s="187">
        <f>'Subcases Monthly'!K70</f>
        <v>15</v>
      </c>
      <c r="N65" s="187">
        <f>'Subcases Monthly'!L70</f>
        <v>9</v>
      </c>
      <c r="O65" s="187">
        <f>'Subcases Monthly'!M70</f>
        <v>5</v>
      </c>
      <c r="P65" s="187">
        <f>'Subcases Monthly'!N70</f>
        <v>2</v>
      </c>
      <c r="Q65" s="187">
        <f>'Subcases Monthly'!O70</f>
        <v>2</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2</v>
      </c>
      <c r="M66" s="187">
        <f>'Subcases Monthly'!K71</f>
        <v>4</v>
      </c>
      <c r="N66" s="187">
        <f>'Subcases Monthly'!L71</f>
        <v>3</v>
      </c>
      <c r="O66" s="187">
        <f>'Subcases Monthly'!M71</f>
        <v>6</v>
      </c>
      <c r="P66" s="187">
        <f>'Subcases Monthly'!N71</f>
        <v>1</v>
      </c>
      <c r="Q66" s="187">
        <f>'Subcases Monthly'!O71</f>
        <v>1</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222</v>
      </c>
      <c r="M69" s="187">
        <f>'Subcases Monthly'!K77</f>
        <v>217</v>
      </c>
      <c r="N69" s="187">
        <f>'Subcases Monthly'!L77</f>
        <v>231</v>
      </c>
      <c r="O69" s="187">
        <f>'Subcases Monthly'!M77</f>
        <v>195</v>
      </c>
      <c r="P69" s="187">
        <f>'Subcases Monthly'!N77</f>
        <v>212</v>
      </c>
      <c r="Q69" s="187">
        <f>'Subcases Monthly'!O77</f>
        <v>208</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25</v>
      </c>
      <c r="M70" s="187">
        <f>'Subcases Monthly'!K78</f>
        <v>25</v>
      </c>
      <c r="N70" s="187">
        <f>'Subcases Monthly'!L78</f>
        <v>33</v>
      </c>
      <c r="O70" s="187">
        <f>'Subcases Monthly'!M78</f>
        <v>37</v>
      </c>
      <c r="P70" s="187">
        <f>'Subcases Monthly'!N78</f>
        <v>21</v>
      </c>
      <c r="Q70" s="187">
        <f>'Subcases Monthly'!O78</f>
        <v>37</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2</v>
      </c>
      <c r="M71" s="187">
        <f>'Subcases Monthly'!K79</f>
        <v>2</v>
      </c>
      <c r="N71" s="187">
        <f>'Subcases Monthly'!L79</f>
        <v>2</v>
      </c>
      <c r="O71" s="187">
        <f>'Subcases Monthly'!M79</f>
        <v>3</v>
      </c>
      <c r="P71" s="187">
        <f>'Subcases Monthly'!N79</f>
        <v>3</v>
      </c>
      <c r="Q71" s="187">
        <f>'Subcases Monthly'!O79</f>
        <v>3</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40</v>
      </c>
      <c r="M72" s="187">
        <f>'Subcases Monthly'!K80</f>
        <v>58</v>
      </c>
      <c r="N72" s="187">
        <f>'Subcases Monthly'!L80</f>
        <v>53</v>
      </c>
      <c r="O72" s="187">
        <f>'Subcases Monthly'!M80</f>
        <v>57</v>
      </c>
      <c r="P72" s="187">
        <f>'Subcases Monthly'!N80</f>
        <v>52</v>
      </c>
      <c r="Q72" s="187">
        <f>'Subcases Monthly'!O80</f>
        <v>52</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10</v>
      </c>
      <c r="M73" s="187">
        <f>'Subcases Monthly'!K81</f>
        <v>12</v>
      </c>
      <c r="N73" s="187">
        <f>'Subcases Monthly'!L81</f>
        <v>8</v>
      </c>
      <c r="O73" s="187">
        <f>'Subcases Monthly'!M81</f>
        <v>12</v>
      </c>
      <c r="P73" s="187">
        <f>'Subcases Monthly'!N81</f>
        <v>22</v>
      </c>
      <c r="Q73" s="187">
        <f>'Subcases Monthly'!O81</f>
        <v>13</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16</v>
      </c>
      <c r="M74" s="187">
        <f>'Subcases Monthly'!K82</f>
        <v>14</v>
      </c>
      <c r="N74" s="187">
        <f>'Subcases Monthly'!L82</f>
        <v>17</v>
      </c>
      <c r="O74" s="187">
        <f>'Subcases Monthly'!M82</f>
        <v>13</v>
      </c>
      <c r="P74" s="187">
        <f>'Subcases Monthly'!N82</f>
        <v>8</v>
      </c>
      <c r="Q74" s="187">
        <f>'Subcases Monthly'!O82</f>
        <v>16</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2</v>
      </c>
      <c r="M76" s="187">
        <f>'Subcases Monthly'!K84</f>
        <v>4</v>
      </c>
      <c r="N76" s="187">
        <f>'Subcases Monthly'!L84</f>
        <v>7</v>
      </c>
      <c r="O76" s="187">
        <f>'Subcases Monthly'!M84</f>
        <v>0</v>
      </c>
      <c r="P76" s="187">
        <f>'Subcases Monthly'!N84</f>
        <v>5</v>
      </c>
      <c r="Q76" s="187">
        <f>'Subcases Monthly'!O84</f>
        <v>2</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145</v>
      </c>
      <c r="M77" s="187">
        <f>'Subcases Monthly'!K85</f>
        <v>146</v>
      </c>
      <c r="N77" s="187">
        <f>'Subcases Monthly'!L85</f>
        <v>131</v>
      </c>
      <c r="O77" s="187">
        <f>'Subcases Monthly'!M85</f>
        <v>140</v>
      </c>
      <c r="P77" s="187">
        <f>'Subcases Monthly'!N85</f>
        <v>131</v>
      </c>
      <c r="Q77" s="187">
        <f>'Subcases Monthly'!O85</f>
        <v>133</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112</v>
      </c>
      <c r="M78" s="187">
        <f>'Subcases Monthly'!K86</f>
        <v>169</v>
      </c>
      <c r="N78" s="187">
        <f>'Subcases Monthly'!L86</f>
        <v>146</v>
      </c>
      <c r="O78" s="187">
        <f>'Subcases Monthly'!M86</f>
        <v>111</v>
      </c>
      <c r="P78" s="187">
        <f>'Subcases Monthly'!N86</f>
        <v>143</v>
      </c>
      <c r="Q78" s="187">
        <f>'Subcases Monthly'!O86</f>
        <v>142</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43</v>
      </c>
      <c r="M79" s="187">
        <f>'Subcases Monthly'!K87</f>
        <v>45</v>
      </c>
      <c r="N79" s="187">
        <f>'Subcases Monthly'!L87</f>
        <v>47</v>
      </c>
      <c r="O79" s="187">
        <f>'Subcases Monthly'!M87</f>
        <v>47</v>
      </c>
      <c r="P79" s="187">
        <f>'Subcases Monthly'!N87</f>
        <v>32</v>
      </c>
      <c r="Q79" s="187">
        <f>'Subcases Monthly'!O87</f>
        <v>31</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3</v>
      </c>
      <c r="N80" s="187">
        <f>'Subcases Monthly'!L88</f>
        <v>1</v>
      </c>
      <c r="O80" s="187">
        <f>'Subcases Monthly'!M88</f>
        <v>0</v>
      </c>
      <c r="P80" s="187">
        <f>'Subcases Monthly'!N88</f>
        <v>1</v>
      </c>
      <c r="Q80" s="187">
        <f>'Subcases Monthly'!O88</f>
        <v>1</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17</v>
      </c>
      <c r="M81" s="187">
        <f>'Subcases Monthly'!K89</f>
        <v>3</v>
      </c>
      <c r="N81" s="187">
        <f>'Subcases Monthly'!L89</f>
        <v>6</v>
      </c>
      <c r="O81" s="187">
        <f>'Subcases Monthly'!M89</f>
        <v>7</v>
      </c>
      <c r="P81" s="187">
        <f>'Subcases Monthly'!N89</f>
        <v>10</v>
      </c>
      <c r="Q81" s="187">
        <f>'Subcases Monthly'!O89</f>
        <v>14</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1</v>
      </c>
      <c r="M84" s="187">
        <f>'Subcases Monthly'!K92</f>
        <v>1</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19</v>
      </c>
      <c r="M86" s="187">
        <f>'Subcases Monthly'!K97</f>
        <v>15</v>
      </c>
      <c r="N86" s="187">
        <f>'Subcases Monthly'!L97</f>
        <v>18</v>
      </c>
      <c r="O86" s="187">
        <f>'Subcases Monthly'!M97</f>
        <v>18</v>
      </c>
      <c r="P86" s="187">
        <f>'Subcases Monthly'!N97</f>
        <v>13</v>
      </c>
      <c r="Q86" s="187">
        <f>'Subcases Monthly'!O97</f>
        <v>10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157</v>
      </c>
      <c r="M87" s="187">
        <f>'Subcases Monthly'!K98</f>
        <v>183</v>
      </c>
      <c r="N87" s="187">
        <f>'Subcases Monthly'!L98</f>
        <v>154</v>
      </c>
      <c r="O87" s="187">
        <f>'Subcases Monthly'!M98</f>
        <v>158</v>
      </c>
      <c r="P87" s="187">
        <f>'Subcases Monthly'!N98</f>
        <v>164</v>
      </c>
      <c r="Q87" s="187">
        <f>'Subcases Monthly'!O98</f>
        <v>131</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164</v>
      </c>
      <c r="M88" s="187">
        <f>'Subcases Monthly'!K99</f>
        <v>164</v>
      </c>
      <c r="N88" s="187">
        <f>'Subcases Monthly'!L99</f>
        <v>145</v>
      </c>
      <c r="O88" s="187">
        <f>'Subcases Monthly'!M99</f>
        <v>169</v>
      </c>
      <c r="P88" s="187">
        <f>'Subcases Monthly'!N99</f>
        <v>184</v>
      </c>
      <c r="Q88" s="187">
        <f>'Subcases Monthly'!O99</f>
        <v>166</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11</v>
      </c>
      <c r="M89" s="187">
        <f>'Subcases Monthly'!K100</f>
        <v>11</v>
      </c>
      <c r="N89" s="187">
        <f>'Subcases Monthly'!L100</f>
        <v>7</v>
      </c>
      <c r="O89" s="187">
        <f>'Subcases Monthly'!M100</f>
        <v>18</v>
      </c>
      <c r="P89" s="187">
        <f>'Subcases Monthly'!N100</f>
        <v>15</v>
      </c>
      <c r="Q89" s="187">
        <f>'Subcases Monthly'!O100</f>
        <v>14</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2</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12</v>
      </c>
      <c r="M91" s="187">
        <f>'Subcases Monthly'!K102</f>
        <v>11</v>
      </c>
      <c r="N91" s="187">
        <f>'Subcases Monthly'!L102</f>
        <v>23</v>
      </c>
      <c r="O91" s="187">
        <f>'Subcases Monthly'!M102</f>
        <v>19</v>
      </c>
      <c r="P91" s="187">
        <f>'Subcases Monthly'!N102</f>
        <v>17</v>
      </c>
      <c r="Q91" s="187">
        <f>'Subcases Monthly'!O102</f>
        <v>14</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13</v>
      </c>
      <c r="M92" s="187">
        <f>'Subcases Monthly'!K103</f>
        <v>16</v>
      </c>
      <c r="N92" s="187">
        <f>'Subcases Monthly'!L103</f>
        <v>16</v>
      </c>
      <c r="O92" s="187">
        <f>'Subcases Monthly'!M103</f>
        <v>16</v>
      </c>
      <c r="P92" s="187">
        <f>'Subcases Monthly'!N103</f>
        <v>14</v>
      </c>
      <c r="Q92" s="187">
        <f>'Subcases Monthly'!O103</f>
        <v>19</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30</v>
      </c>
      <c r="M93" s="187">
        <f>'Subcases Monthly'!K104</f>
        <v>28</v>
      </c>
      <c r="N93" s="187">
        <f>'Subcases Monthly'!L104</f>
        <v>23</v>
      </c>
      <c r="O93" s="187">
        <f>'Subcases Monthly'!M104</f>
        <v>22</v>
      </c>
      <c r="P93" s="187">
        <f>'Subcases Monthly'!N104</f>
        <v>26</v>
      </c>
      <c r="Q93" s="187">
        <f>'Subcases Monthly'!O104</f>
        <v>22</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40</v>
      </c>
      <c r="M94" s="187">
        <f>'Subcases Monthly'!K105</f>
        <v>29</v>
      </c>
      <c r="N94" s="187">
        <f>'Subcases Monthly'!L105</f>
        <v>28</v>
      </c>
      <c r="O94" s="187">
        <f>'Subcases Monthly'!M105</f>
        <v>33</v>
      </c>
      <c r="P94" s="187">
        <f>'Subcases Monthly'!N105</f>
        <v>36</v>
      </c>
      <c r="Q94" s="187">
        <f>'Subcases Monthly'!O105</f>
        <v>51</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44</v>
      </c>
      <c r="M95" s="187">
        <f>'Subcases Monthly'!K106</f>
        <v>40</v>
      </c>
      <c r="N95" s="187">
        <f>'Subcases Monthly'!L106</f>
        <v>35</v>
      </c>
      <c r="O95" s="187">
        <f>'Subcases Monthly'!M106</f>
        <v>39</v>
      </c>
      <c r="P95" s="187">
        <f>'Subcases Monthly'!N106</f>
        <v>50</v>
      </c>
      <c r="Q95" s="187">
        <f>'Subcases Monthly'!O106</f>
        <v>44</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19</v>
      </c>
      <c r="M97" s="187">
        <f>'Subcases Monthly'!K111</f>
        <v>14</v>
      </c>
      <c r="N97" s="187">
        <f>'Subcases Monthly'!L111</f>
        <v>12</v>
      </c>
      <c r="O97" s="187">
        <f>'Subcases Monthly'!M111</f>
        <v>13</v>
      </c>
      <c r="P97" s="187">
        <f>'Subcases Monthly'!N111</f>
        <v>24</v>
      </c>
      <c r="Q97" s="187">
        <f>'Subcases Monthly'!O111</f>
        <v>16</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1</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3</v>
      </c>
      <c r="M101" s="187">
        <f>'Subcases Monthly'!K115</f>
        <v>6</v>
      </c>
      <c r="N101" s="187">
        <f>'Subcases Monthly'!L115</f>
        <v>6</v>
      </c>
      <c r="O101" s="187">
        <f>'Subcases Monthly'!M115</f>
        <v>0</v>
      </c>
      <c r="P101" s="187">
        <f>'Subcases Monthly'!N115</f>
        <v>2</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1</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5219</v>
      </c>
      <c r="M106" s="187">
        <f>'Subcases Monthly'!K123</f>
        <v>5017</v>
      </c>
      <c r="N106" s="187">
        <f>'Subcases Monthly'!L123</f>
        <v>5766</v>
      </c>
      <c r="O106" s="187">
        <f>'Subcases Monthly'!M123</f>
        <v>4832</v>
      </c>
      <c r="P106" s="187">
        <f>'Subcases Monthly'!N123</f>
        <v>4740</v>
      </c>
      <c r="Q106" s="187">
        <f>'Subcases Monthly'!O123</f>
        <v>4559</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931</v>
      </c>
      <c r="M107" s="187">
        <f>'Outputs Monthly'!K23</f>
        <v>980</v>
      </c>
      <c r="N107" s="187">
        <f>'Outputs Monthly'!L23</f>
        <v>846</v>
      </c>
      <c r="O107" s="187">
        <f>'Outputs Monthly'!M23</f>
        <v>841</v>
      </c>
      <c r="P107" s="187">
        <f>'Outputs Monthly'!N23</f>
        <v>758</v>
      </c>
      <c r="Q107" s="187">
        <f>'Outputs Monthly'!O23</f>
        <v>876</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101</v>
      </c>
      <c r="M108" s="187">
        <f>'Outputs Monthly'!K24</f>
        <v>101</v>
      </c>
      <c r="N108" s="187">
        <f>'Outputs Monthly'!L24</f>
        <v>126</v>
      </c>
      <c r="O108" s="187">
        <f>'Outputs Monthly'!M24</f>
        <v>101</v>
      </c>
      <c r="P108" s="187">
        <f>'Outputs Monthly'!N24</f>
        <v>98</v>
      </c>
      <c r="Q108" s="187">
        <f>'Outputs Monthly'!O24</f>
        <v>113</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128</v>
      </c>
      <c r="M109" s="187">
        <f>'Outputs Monthly'!K25</f>
        <v>138</v>
      </c>
      <c r="N109" s="187">
        <f>'Outputs Monthly'!L25</f>
        <v>165</v>
      </c>
      <c r="O109" s="187">
        <f>'Outputs Monthly'!M25</f>
        <v>124</v>
      </c>
      <c r="P109" s="187">
        <f>'Outputs Monthly'!N25</f>
        <v>95</v>
      </c>
      <c r="Q109" s="187">
        <f>'Outputs Monthly'!O25</f>
        <v>110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170</v>
      </c>
      <c r="M110" s="187">
        <f>'Outputs Monthly'!K26</f>
        <v>183</v>
      </c>
      <c r="N110" s="187">
        <f>'Outputs Monthly'!L26</f>
        <v>137</v>
      </c>
      <c r="O110" s="187">
        <f>'Outputs Monthly'!M26</f>
        <v>157</v>
      </c>
      <c r="P110" s="187">
        <f>'Outputs Monthly'!N26</f>
        <v>173</v>
      </c>
      <c r="Q110" s="187">
        <f>'Outputs Monthly'!O26</f>
        <v>114</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149</v>
      </c>
      <c r="M111" s="187">
        <f>'Outputs Monthly'!K27</f>
        <v>160</v>
      </c>
      <c r="N111" s="187">
        <f>'Outputs Monthly'!L27</f>
        <v>123</v>
      </c>
      <c r="O111" s="187">
        <f>'Outputs Monthly'!M27</f>
        <v>131</v>
      </c>
      <c r="P111" s="187">
        <f>'Outputs Monthly'!N27</f>
        <v>170</v>
      </c>
      <c r="Q111" s="187">
        <f>'Outputs Monthly'!O27</f>
        <v>122</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531</v>
      </c>
      <c r="M112" s="187">
        <f>'Outputs Monthly'!K28</f>
        <v>543</v>
      </c>
      <c r="N112" s="187">
        <f>'Outputs Monthly'!L28</f>
        <v>549</v>
      </c>
      <c r="O112" s="187">
        <f>'Outputs Monthly'!M28</f>
        <v>559</v>
      </c>
      <c r="P112" s="187">
        <f>'Outputs Monthly'!N28</f>
        <v>571</v>
      </c>
      <c r="Q112" s="187">
        <f>'Outputs Monthly'!O28</f>
        <v>514</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319</v>
      </c>
      <c r="M113" s="187">
        <f>'Outputs Monthly'!K29</f>
        <v>284</v>
      </c>
      <c r="N113" s="187">
        <f>'Outputs Monthly'!L29</f>
        <v>281</v>
      </c>
      <c r="O113" s="187">
        <f>'Outputs Monthly'!M29</f>
        <v>326</v>
      </c>
      <c r="P113" s="187">
        <f>'Outputs Monthly'!N29</f>
        <v>295</v>
      </c>
      <c r="Q113" s="187">
        <f>'Outputs Monthly'!O29</f>
        <v>310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602</v>
      </c>
      <c r="M114" s="187">
        <f>'Outputs Monthly'!K30</f>
        <v>601</v>
      </c>
      <c r="N114" s="187">
        <f>'Outputs Monthly'!L30</f>
        <v>550</v>
      </c>
      <c r="O114" s="187">
        <f>'Outputs Monthly'!M30</f>
        <v>520</v>
      </c>
      <c r="P114" s="187">
        <f>'Outputs Monthly'!N30</f>
        <v>825</v>
      </c>
      <c r="Q114" s="187">
        <f>'Outputs Monthly'!O30</f>
        <v>655</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43</v>
      </c>
      <c r="M115" s="187">
        <f>'Outputs Monthly'!K31</f>
        <v>58</v>
      </c>
      <c r="N115" s="187">
        <f>'Outputs Monthly'!L31</f>
        <v>53</v>
      </c>
      <c r="O115" s="187">
        <f>'Outputs Monthly'!M31</f>
        <v>65</v>
      </c>
      <c r="P115" s="187">
        <f>'Outputs Monthly'!N31</f>
        <v>69</v>
      </c>
      <c r="Q115" s="187">
        <f>'Outputs Monthly'!O31</f>
        <v>58</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22</v>
      </c>
      <c r="M117" s="187">
        <f>'Outputs Monthly'!K36</f>
        <v>35</v>
      </c>
      <c r="N117" s="187">
        <f>'Outputs Monthly'!L36</f>
        <v>11</v>
      </c>
      <c r="O117" s="187">
        <f>'Outputs Monthly'!M36</f>
        <v>16</v>
      </c>
      <c r="P117" s="187">
        <f>'Outputs Monthly'!N36</f>
        <v>27</v>
      </c>
      <c r="Q117" s="187">
        <f>'Outputs Monthly'!O36</f>
        <v>11</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1</v>
      </c>
      <c r="M118" s="187">
        <f>'Outputs Monthly'!K37</f>
        <v>1</v>
      </c>
      <c r="N118" s="187">
        <f>'Outputs Monthly'!L37</f>
        <v>3</v>
      </c>
      <c r="O118" s="187">
        <f>'Outputs Monthly'!M37</f>
        <v>3</v>
      </c>
      <c r="P118" s="187">
        <f>'Outputs Monthly'!N37</f>
        <v>0</v>
      </c>
      <c r="Q118" s="187">
        <f>'Outputs Monthly'!O37</f>
        <v>1</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1</v>
      </c>
      <c r="P119" s="187">
        <f>'Outputs Monthly'!N38</f>
        <v>1</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5</v>
      </c>
      <c r="M120" s="187">
        <f>'Outputs Monthly'!K39</f>
        <v>15</v>
      </c>
      <c r="N120" s="187">
        <f>'Outputs Monthly'!L39</f>
        <v>4</v>
      </c>
      <c r="O120" s="187">
        <f>'Outputs Monthly'!M39</f>
        <v>3</v>
      </c>
      <c r="P120" s="187">
        <f>'Outputs Monthly'!N39</f>
        <v>4</v>
      </c>
      <c r="Q120" s="187">
        <f>'Outputs Monthly'!O39</f>
        <v>4</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6</v>
      </c>
      <c r="M121" s="187">
        <f>'Outputs Monthly'!K40</f>
        <v>7</v>
      </c>
      <c r="N121" s="187">
        <f>'Outputs Monthly'!L40</f>
        <v>6</v>
      </c>
      <c r="O121" s="187">
        <f>'Outputs Monthly'!M40</f>
        <v>11</v>
      </c>
      <c r="P121" s="187">
        <f>'Outputs Monthly'!N40</f>
        <v>10</v>
      </c>
      <c r="Q121" s="187">
        <f>'Outputs Monthly'!O40</f>
        <v>14</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3</v>
      </c>
      <c r="M122" s="187">
        <f>'Outputs Monthly'!K41</f>
        <v>2</v>
      </c>
      <c r="N122" s="187">
        <f>'Outputs Monthly'!L41</f>
        <v>3</v>
      </c>
      <c r="O122" s="187">
        <f>'Outputs Monthly'!M41</f>
        <v>1</v>
      </c>
      <c r="P122" s="187">
        <f>'Outputs Monthly'!N41</f>
        <v>1</v>
      </c>
      <c r="Q122" s="187">
        <f>'Outputs Monthly'!O41</f>
        <v>2</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1</v>
      </c>
      <c r="M123" s="187">
        <f>'Outputs Monthly'!K42</f>
        <v>1</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4</v>
      </c>
      <c r="M124" s="187">
        <f>'Outputs Monthly'!K43</f>
        <v>1</v>
      </c>
      <c r="N124" s="187">
        <f>'Outputs Monthly'!L43</f>
        <v>3</v>
      </c>
      <c r="O124" s="187">
        <f>'Outputs Monthly'!M43</f>
        <v>9</v>
      </c>
      <c r="P124" s="187">
        <f>'Outputs Monthly'!N43</f>
        <v>8</v>
      </c>
      <c r="Q124" s="187">
        <f>'Outputs Monthly'!O43</f>
        <v>7</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1</v>
      </c>
      <c r="N125" s="187">
        <f>'Outputs Monthly'!L44</f>
        <v>2</v>
      </c>
      <c r="O125" s="187">
        <f>'Outputs Monthly'!M44</f>
        <v>1</v>
      </c>
      <c r="P125" s="187">
        <f>'Outputs Monthly'!N44</f>
        <v>5</v>
      </c>
      <c r="Q125" s="187">
        <f>'Outputs Monthly'!O44</f>
        <v>5</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1</v>
      </c>
      <c r="O126" s="187">
        <f>'Outputs Monthly'!M45</f>
        <v>0</v>
      </c>
      <c r="P126" s="187">
        <f>'Outputs Monthly'!N45</f>
        <v>0</v>
      </c>
      <c r="Q126" s="187">
        <f>'Outputs Monthly'!O45</f>
        <v>1</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85451</v>
      </c>
      <c r="I127" s="188">
        <f>'Timeliness Quarterly'!I46</f>
        <v>88108</v>
      </c>
      <c r="J127" s="188">
        <f>'Timeliness Quarterly'!J46</f>
        <v>57433</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29106</v>
      </c>
      <c r="I128" s="188">
        <f>'Timeliness Quarterly'!I49</f>
        <v>30404</v>
      </c>
      <c r="J128" s="188">
        <f>'Timeliness Quarterly'!J49</f>
        <v>22440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6611</v>
      </c>
      <c r="I129" s="188">
        <f>'Timeliness Quarterly'!I52</f>
        <v>7238</v>
      </c>
      <c r="J129" s="188">
        <f>'Timeliness Quarterly'!J52</f>
        <v>4061</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14928</v>
      </c>
      <c r="I130" s="188">
        <f>'Timeliness Quarterly'!I55</f>
        <v>15508</v>
      </c>
      <c r="J130" s="188">
        <f>'Timeliness Quarterly'!J55</f>
        <v>10099</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60622</v>
      </c>
      <c r="I131" s="188">
        <f>'Timeliness Quarterly'!I58</f>
        <v>59913</v>
      </c>
      <c r="J131" s="188">
        <f>'Timeliness Quarterly'!J58</f>
        <v>39172</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56548</v>
      </c>
      <c r="I132" s="188">
        <f>'Timeliness Quarterly'!I61</f>
        <v>61615</v>
      </c>
      <c r="J132" s="188">
        <f>'Timeliness Quarterly'!J61</f>
        <v>44909</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25363</v>
      </c>
      <c r="I133" s="188">
        <f>'Timeliness Quarterly'!I64</f>
        <v>25072</v>
      </c>
      <c r="J133" s="188">
        <f>'Timeliness Quarterly'!J64</f>
        <v>16869</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38292</v>
      </c>
      <c r="I134" s="188">
        <f>'Timeliness Quarterly'!I67</f>
        <v>40272</v>
      </c>
      <c r="J134" s="188">
        <f>'Timeliness Quarterly'!J67</f>
        <v>27997</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850</v>
      </c>
      <c r="I135" s="188">
        <f>'Timeliness Quarterly'!I70</f>
        <v>692</v>
      </c>
      <c r="J135" s="188">
        <f>'Timeliness Quarterly'!J70</f>
        <v>606</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43685</v>
      </c>
      <c r="I136" s="188">
        <f>'Timeliness Quarterly'!I73</f>
        <v>46577</v>
      </c>
      <c r="J136" s="188">
        <f>'Timeliness Quarterly'!J73</f>
        <v>30779</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1554</v>
      </c>
      <c r="I137" s="188">
        <f>'Timeliness Quarterly'!I12</f>
        <v>1647</v>
      </c>
      <c r="J137" s="188">
        <f>'Timeliness Quarterly'!J12</f>
        <v>1227</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1579</v>
      </c>
      <c r="I138" s="188">
        <f>'Timeliness Quarterly'!I15</f>
        <v>1734</v>
      </c>
      <c r="J138" s="188">
        <f>'Timeliness Quarterly'!J15</f>
        <v>1334</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214</v>
      </c>
      <c r="I139" s="188">
        <f>'Timeliness Quarterly'!I18</f>
        <v>241</v>
      </c>
      <c r="J139" s="188">
        <f>'Timeliness Quarterly'!J18</f>
        <v>161</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2165</v>
      </c>
      <c r="I140" s="188">
        <f>'Timeliness Quarterly'!I21</f>
        <v>2456</v>
      </c>
      <c r="J140" s="188">
        <f>'Timeliness Quarterly'!J21</f>
        <v>1695</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711</v>
      </c>
      <c r="I141" s="188">
        <f>'Timeliness Quarterly'!I24</f>
        <v>965</v>
      </c>
      <c r="J141" s="188">
        <f>'Timeliness Quarterly'!J24</f>
        <v>648</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3119</v>
      </c>
      <c r="I142" s="188">
        <f>'Timeliness Quarterly'!I27</f>
        <v>3962</v>
      </c>
      <c r="J142" s="188">
        <f>'Timeliness Quarterly'!J27</f>
        <v>2960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1703</v>
      </c>
      <c r="I143" s="188">
        <f>'Timeliness Quarterly'!I30</f>
        <v>1349</v>
      </c>
      <c r="J143" s="188">
        <f>'Timeliness Quarterly'!J30</f>
        <v>1006</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1368</v>
      </c>
      <c r="I144" s="188">
        <f>'Timeliness Quarterly'!I33</f>
        <v>1391</v>
      </c>
      <c r="J144" s="188">
        <f>'Timeliness Quarterly'!J33</f>
        <v>948</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56</v>
      </c>
      <c r="I145" s="188">
        <f>'Timeliness Quarterly'!I36</f>
        <v>51</v>
      </c>
      <c r="J145" s="188">
        <f>'Timeliness Quarterly'!J36</f>
        <v>44</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13220</v>
      </c>
      <c r="I146" s="188">
        <f>'Timeliness Quarterly'!I39</f>
        <v>14776</v>
      </c>
      <c r="J146" s="188">
        <f>'Timeliness Quarterly'!J39</f>
        <v>8488</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83684</v>
      </c>
      <c r="I147" s="188">
        <f>'Timeliness Quarterly'!I47</f>
        <v>83550</v>
      </c>
      <c r="J147" s="188">
        <f>'Timeliness Quarterly'!J47</f>
        <v>55202</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28163</v>
      </c>
      <c r="I148" s="188">
        <f>'Timeliness Quarterly'!I50</f>
        <v>28067</v>
      </c>
      <c r="J148" s="188">
        <f>'Timeliness Quarterly'!J50</f>
        <v>21474</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6594</v>
      </c>
      <c r="I149" s="188">
        <f>'Timeliness Quarterly'!I53</f>
        <v>7143</v>
      </c>
      <c r="J149" s="188">
        <f>'Timeliness Quarterly'!J53</f>
        <v>4041</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13813</v>
      </c>
      <c r="I150" s="188">
        <f>'Timeliness Quarterly'!I56</f>
        <v>13863</v>
      </c>
      <c r="J150" s="188">
        <f>'Timeliness Quarterly'!J56</f>
        <v>9175</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54951</v>
      </c>
      <c r="I151" s="188">
        <f>'Timeliness Quarterly'!I59</f>
        <v>59387</v>
      </c>
      <c r="J151" s="188">
        <f>'Timeliness Quarterly'!J59</f>
        <v>38712</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42352</v>
      </c>
      <c r="I152" s="188">
        <f>'Timeliness Quarterly'!I62</f>
        <v>61136</v>
      </c>
      <c r="J152" s="188">
        <f>'Timeliness Quarterly'!J62</f>
        <v>43152</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22200</v>
      </c>
      <c r="I153" s="188">
        <f>'Timeliness Quarterly'!I65</f>
        <v>12209</v>
      </c>
      <c r="J153" s="188">
        <f>'Timeliness Quarterly'!J65</f>
        <v>11530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37066</v>
      </c>
      <c r="I154" s="188">
        <f>'Timeliness Quarterly'!I68</f>
        <v>38899</v>
      </c>
      <c r="J154" s="188">
        <f>'Timeliness Quarterly'!J68</f>
        <v>27157</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835</v>
      </c>
      <c r="I155" s="188">
        <f>'Timeliness Quarterly'!I71</f>
        <v>690</v>
      </c>
      <c r="J155" s="188">
        <f>'Timeliness Quarterly'!J71</f>
        <v>597</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41645</v>
      </c>
      <c r="I156" s="188">
        <f>'Timeliness Quarterly'!I74</f>
        <v>45218</v>
      </c>
      <c r="J156" s="188">
        <f>'Timeliness Quarterly'!J74</f>
        <v>29191</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0.97060000000000002</v>
      </c>
      <c r="I157" s="188">
        <f>'Timeliness Quarterly'!I13</f>
        <v>0.95809999999999995</v>
      </c>
      <c r="J157" s="188">
        <f>'Timeliness Quarterly'!J13</f>
        <v>0.98399999999999999</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0.92659999999999998</v>
      </c>
      <c r="I158" s="188">
        <f>'Timeliness Quarterly'!I16</f>
        <v>0.84789999999999999</v>
      </c>
      <c r="J158" s="188">
        <f>'Timeliness Quarterly'!J16</f>
        <v>0.97089999999999999</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0.97270000000000001</v>
      </c>
      <c r="I159" s="188">
        <f>'Timeliness Quarterly'!I19</f>
        <v>0.9718</v>
      </c>
      <c r="J159" s="188">
        <f>'Timeliness Quarterly'!J19</f>
        <v>0.98170000000000002</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0.90359999999999996</v>
      </c>
      <c r="I160" s="188">
        <f>'Timeliness Quarterly'!I22</f>
        <v>0.93600000000000005</v>
      </c>
      <c r="J160" s="188">
        <f>'Timeliness Quarterly'!J22</f>
        <v>0.93389999999999995</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0.77200000000000002</v>
      </c>
      <c r="I161" s="188">
        <f>'Timeliness Quarterly'!I25</f>
        <v>0.91639999999999999</v>
      </c>
      <c r="J161" s="188">
        <f>'Timeliness Quarterly'!J25</f>
        <v>0.93369999999999997</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0.88959999999999995</v>
      </c>
      <c r="I162" s="188">
        <f>'Timeliness Quarterly'!I28</f>
        <v>0.96</v>
      </c>
      <c r="J162" s="188">
        <f>'Timeliness Quarterly'!J28</f>
        <v>0.97140000000000004</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0.89439999999999997</v>
      </c>
      <c r="I163" s="188">
        <f>'Timeliness Quarterly'!I31</f>
        <v>0.67349999999999999</v>
      </c>
      <c r="J163" s="188">
        <f>'Timeliness Quarterly'!J31</f>
        <v>0.77859999999999996</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0.97160000000000002</v>
      </c>
      <c r="I164" s="188">
        <f>'Timeliness Quarterly'!I34</f>
        <v>0.96599999999999997</v>
      </c>
      <c r="J164" s="188">
        <f>'Timeliness Quarterly'!J34</f>
        <v>0.95760000000000001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0.91420000000000001</v>
      </c>
      <c r="I166" s="188">
        <f>'Timeliness Quarterly'!I40</f>
        <v>0.94630000000000003</v>
      </c>
      <c r="J166" s="188">
        <f>'Timeliness Quarterly'!J40</f>
        <v>0.91279999999999994</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0.97929999999999995</v>
      </c>
      <c r="I167" s="188">
        <f>'Timeliness Quarterly'!I48</f>
        <v>0.94830000000000003</v>
      </c>
      <c r="J167" s="188">
        <f>'Timeliness Quarterly'!J48</f>
        <v>0.96120000000000005</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0.96760000000000002</v>
      </c>
      <c r="I168" s="188">
        <f>'Timeliness Quarterly'!I51</f>
        <v>0.92310000000000003</v>
      </c>
      <c r="J168" s="188">
        <f>'Timeliness Quarterly'!J51</f>
        <v>0.95699999999999996</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0.9869</v>
      </c>
      <c r="J169" s="188">
        <f>'Timeliness Quarterly'!J54</f>
        <v>0.99509999999999998</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0.92530000000000001</v>
      </c>
      <c r="I170" s="188">
        <f>'Timeliness Quarterly'!I57</f>
        <v>0.89390000000000003</v>
      </c>
      <c r="J170" s="188">
        <f>'Timeliness Quarterly'!J57</f>
        <v>0.90849999999999997</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0.90649999999999997</v>
      </c>
      <c r="I171" s="188">
        <f>'Timeliness Quarterly'!I60</f>
        <v>0.99119999999999997</v>
      </c>
      <c r="J171" s="188">
        <f>'Timeliness Quarterly'!J60</f>
        <v>0.98829999999999996</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0.749</v>
      </c>
      <c r="I172" s="188">
        <f>'Timeliness Quarterly'!I63</f>
        <v>0.99219999999999997</v>
      </c>
      <c r="J172" s="188">
        <f>'Timeliness Quarterly'!J63</f>
        <v>0.96089999999999998</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0.87529999999999997</v>
      </c>
      <c r="I173" s="188">
        <f>'Timeliness Quarterly'!I66</f>
        <v>0.48699999999999999</v>
      </c>
      <c r="J173" s="188">
        <f>'Timeliness Quarterly'!J66</f>
        <v>0.6835</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0.96799999999999997</v>
      </c>
      <c r="I174" s="188">
        <f>'Timeliness Quarterly'!I69</f>
        <v>0.96589999999999998</v>
      </c>
      <c r="J174" s="188">
        <f>'Timeliness Quarterly'!J69</f>
        <v>0.97</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0.98240000000000005</v>
      </c>
      <c r="I175" s="188">
        <f>'Timeliness Quarterly'!I72</f>
        <v>0.99709999999999999</v>
      </c>
      <c r="J175" s="188">
        <f>'Timeliness Quarterly'!J72</f>
        <v>0.98509999999999998</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0.95330000000000004</v>
      </c>
      <c r="I176" s="188">
        <f>'Timeliness Quarterly'!I75</f>
        <v>0.9708</v>
      </c>
      <c r="J176" s="188">
        <f>'Timeliness Quarterly'!J75</f>
        <v>0.94840000000000002</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Internal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t="str">
        <f>'Timeliness Quarterly'!P29</f>
        <v>Staffing - Internal</v>
      </c>
      <c r="J184" s="186" t="str">
        <f>'Timeliness Quarterly'!R29</f>
        <v>Staffing - Internal</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Internal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t="str">
        <f>'Timeliness Quarterly'!P64</f>
        <v>Staffing - Internal</v>
      </c>
      <c r="J194" s="186" t="str">
        <f>'Timeliness Quarterly'!R64</f>
        <v>Staffing - Internal</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t="str">
        <f>'Timeliness Quarterly'!Q29</f>
        <v>We experienced staff changes and shortages, requiring hiring and training.  We are working on hiring and training new staff to recover from these shortages. We have also been working overtime.</v>
      </c>
      <c r="J204" s="186" t="str">
        <f>'Timeliness Quarterly'!S29</f>
        <v>We experienced staff changes and shortages, requiring hiring and training.  We are working on hiring and training new staff to recover from these shortages. We have also been working overtime.</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t="str">
        <f>'Timeliness Quarterly'!Q64</f>
        <v>We experienced staff changes and shortages, requiring hiring and training.  We are working on hiring and training new staff to recover from these shortages.  We have also been working overtime to try to achieve time standards.</v>
      </c>
      <c r="J214" s="186" t="str">
        <f>'Timeliness Quarterly'!S64</f>
        <v>We experienced staff changes and shortages, requiring hiring and training.  We are working on hiring and training new staff to recover from these shortages.  We have also been working overtime to try to achieve time standards.</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1</v>
      </c>
      <c r="J224" s="186">
        <f t="shared" si="14"/>
        <v>1</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1</v>
      </c>
      <c r="J234" s="186">
        <f t="shared" si="24"/>
        <v>1</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t="str">
        <f>'Subcases Monthly'!R18</f>
        <v>We are in the process of verifying the Cases unable to be categorized to confirm the categorization is accurate.   An amended report will be sent either to recategorize correctly or to explain in more detail why these cases are being reported.</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t="str">
        <f>'Subcases Monthly'!R33</f>
        <v>We are in the process of verifying the Cases unable to be categorized to confirm the categorization is accurate.   An amended report will be sent either to recategorize correctly or to explain in more detail why these cases are being reported.</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58" t="s">
        <v>458</v>
      </c>
      <c r="C2" s="558"/>
      <c r="D2" s="558"/>
      <c r="E2" s="558"/>
      <c r="F2" s="558"/>
      <c r="G2" s="558"/>
      <c r="H2" s="558"/>
      <c r="I2" s="558"/>
      <c r="J2" s="558"/>
      <c r="K2" s="558"/>
      <c r="L2" s="558"/>
      <c r="M2" s="558"/>
      <c r="N2" s="558"/>
      <c r="O2" s="558" t="s">
        <v>459</v>
      </c>
      <c r="P2" s="558"/>
      <c r="Q2" s="558"/>
      <c r="R2" s="558"/>
      <c r="S2" s="558"/>
      <c r="T2" s="558"/>
      <c r="U2" s="558"/>
      <c r="V2" s="558"/>
      <c r="W2" s="558"/>
      <c r="X2" s="558"/>
      <c r="Y2" s="558"/>
      <c r="Z2" s="558"/>
      <c r="AA2" s="558"/>
      <c r="AB2" s="558" t="s">
        <v>460</v>
      </c>
      <c r="AC2" s="558"/>
      <c r="AD2" s="558"/>
      <c r="AE2" s="558"/>
      <c r="AF2" s="558"/>
      <c r="AG2" s="558"/>
      <c r="AH2" s="558"/>
      <c r="AI2" s="558"/>
      <c r="AJ2" s="558"/>
      <c r="AK2" s="558"/>
      <c r="AL2" s="558"/>
      <c r="AM2" s="558"/>
      <c r="AN2" s="558"/>
      <c r="AO2" s="558" t="s">
        <v>461</v>
      </c>
      <c r="AP2" s="558"/>
      <c r="AQ2" s="558"/>
      <c r="AR2" s="558"/>
      <c r="AS2" s="558"/>
      <c r="AT2" s="558"/>
      <c r="AU2" s="558"/>
      <c r="AV2" s="558"/>
      <c r="AW2" s="558"/>
      <c r="AX2" s="558"/>
      <c r="AY2" s="558"/>
      <c r="AZ2" s="558"/>
      <c r="BA2" s="558"/>
      <c r="BB2" s="558" t="s">
        <v>462</v>
      </c>
      <c r="BC2" s="558"/>
      <c r="BD2" s="558"/>
      <c r="BE2" s="558"/>
      <c r="BF2" s="558"/>
      <c r="BG2" s="558"/>
      <c r="BH2" s="558"/>
      <c r="BI2" s="558"/>
      <c r="BJ2" s="558"/>
      <c r="BK2" s="558"/>
      <c r="BL2" s="558"/>
      <c r="BM2" s="558"/>
      <c r="BN2" s="558"/>
      <c r="BO2" s="559" t="s">
        <v>463</v>
      </c>
      <c r="BP2" s="559"/>
      <c r="BQ2" s="559"/>
      <c r="BR2" s="559"/>
      <c r="BS2" s="559"/>
      <c r="BT2" s="559"/>
      <c r="BU2" s="559"/>
      <c r="BV2" s="559"/>
      <c r="BW2" s="559"/>
      <c r="BX2" s="559"/>
      <c r="BY2" s="559"/>
      <c r="BZ2" s="559"/>
      <c r="CA2" s="559"/>
      <c r="CB2" s="559" t="s">
        <v>464</v>
      </c>
      <c r="CC2" s="559"/>
      <c r="CD2" s="559"/>
      <c r="CE2" s="559"/>
      <c r="CF2" s="559"/>
      <c r="CG2" s="559"/>
      <c r="CH2" s="559"/>
      <c r="CI2" s="559"/>
      <c r="CJ2" s="559"/>
      <c r="CK2" s="559"/>
      <c r="CL2" s="559"/>
      <c r="CM2" s="559"/>
      <c r="CN2" s="559"/>
      <c r="CO2" s="559" t="s">
        <v>465</v>
      </c>
      <c r="CP2" s="559"/>
      <c r="CQ2" s="559"/>
      <c r="CR2" s="559"/>
      <c r="CS2" s="559"/>
      <c r="CT2" s="559"/>
      <c r="CU2" s="559"/>
      <c r="CV2" s="559"/>
      <c r="CW2" s="559"/>
      <c r="CX2" s="559"/>
      <c r="CY2" s="559"/>
      <c r="CZ2" s="559"/>
      <c r="DA2" s="559"/>
      <c r="DB2" s="559" t="s">
        <v>466</v>
      </c>
      <c r="DC2" s="559"/>
      <c r="DD2" s="559"/>
      <c r="DE2" s="559"/>
      <c r="DF2" s="559"/>
      <c r="DG2" s="559"/>
      <c r="DH2" s="559"/>
      <c r="DI2" s="559"/>
      <c r="DJ2" s="559"/>
      <c r="DK2" s="559"/>
      <c r="DL2" s="559"/>
      <c r="DM2" s="559"/>
      <c r="DN2" s="559"/>
      <c r="DO2" s="559" t="s">
        <v>467</v>
      </c>
      <c r="DP2" s="559"/>
      <c r="DQ2" s="559"/>
      <c r="DR2" s="559"/>
      <c r="DS2" s="559"/>
      <c r="DT2" s="559"/>
      <c r="DU2" s="559"/>
      <c r="DV2" s="559"/>
      <c r="DW2" s="559"/>
      <c r="DX2" s="559"/>
      <c r="DY2" s="559"/>
      <c r="DZ2" s="559"/>
      <c r="EA2" s="559"/>
      <c r="EB2" s="559" t="s">
        <v>468</v>
      </c>
      <c r="EC2" s="559"/>
      <c r="ED2" s="559"/>
      <c r="EE2" s="559"/>
      <c r="EF2" s="559"/>
      <c r="EG2" s="559"/>
      <c r="EH2" s="559"/>
      <c r="EI2" s="559"/>
      <c r="EJ2" s="559"/>
      <c r="EK2" s="559"/>
      <c r="EL2" s="559"/>
      <c r="EM2" s="559"/>
      <c r="EN2" s="559"/>
      <c r="EO2" s="560" t="s">
        <v>469</v>
      </c>
      <c r="EP2" s="560"/>
      <c r="EQ2" s="560"/>
      <c r="ER2" s="560"/>
      <c r="ES2" s="560"/>
      <c r="ET2" s="560"/>
      <c r="EU2" s="560"/>
      <c r="EV2" s="560"/>
      <c r="EW2" s="560"/>
      <c r="EX2" s="560"/>
      <c r="EY2" s="560"/>
      <c r="EZ2" s="560"/>
      <c r="FA2" s="560"/>
      <c r="FB2" s="560" t="s">
        <v>470</v>
      </c>
      <c r="FC2" s="560"/>
      <c r="FD2" s="560"/>
      <c r="FE2" s="560"/>
      <c r="FF2" s="560"/>
      <c r="FG2" s="560"/>
      <c r="FH2" s="560"/>
      <c r="FI2" s="560"/>
      <c r="FJ2" s="560"/>
      <c r="FK2" s="560"/>
      <c r="FL2" s="560"/>
      <c r="FM2" s="560"/>
      <c r="FN2" s="560"/>
      <c r="FO2" s="560" t="s">
        <v>471</v>
      </c>
      <c r="FP2" s="560"/>
      <c r="FQ2" s="560"/>
      <c r="FR2" s="560"/>
      <c r="FS2" s="560"/>
      <c r="FT2" s="560"/>
      <c r="FU2" s="560"/>
      <c r="FV2" s="560"/>
      <c r="FW2" s="560"/>
      <c r="FX2" s="560"/>
      <c r="FY2" s="560"/>
      <c r="FZ2" s="560"/>
      <c r="GA2" s="560"/>
      <c r="GB2" s="560" t="s">
        <v>472</v>
      </c>
      <c r="GC2" s="560"/>
      <c r="GD2" s="560"/>
      <c r="GE2" s="560"/>
      <c r="GF2" s="560"/>
      <c r="GG2" s="560"/>
      <c r="GH2" s="560"/>
      <c r="GI2" s="560"/>
      <c r="GJ2" s="560"/>
      <c r="GK2" s="560"/>
      <c r="GL2" s="560"/>
      <c r="GM2" s="560"/>
      <c r="GN2" s="560"/>
      <c r="GO2" s="560" t="s">
        <v>473</v>
      </c>
      <c r="GP2" s="560"/>
      <c r="GQ2" s="560"/>
      <c r="GR2" s="560"/>
      <c r="GS2" s="560"/>
      <c r="GT2" s="560"/>
      <c r="GU2" s="560"/>
      <c r="GV2" s="560"/>
      <c r="GW2" s="560"/>
      <c r="GX2" s="560"/>
      <c r="GY2" s="560"/>
      <c r="GZ2" s="560"/>
      <c r="HA2" s="560"/>
      <c r="HB2" s="562" t="s">
        <v>474</v>
      </c>
      <c r="HC2" s="562"/>
      <c r="HD2" s="562"/>
      <c r="HE2" s="562"/>
      <c r="HF2" s="562"/>
      <c r="HG2" s="562"/>
      <c r="HH2" s="562"/>
      <c r="HI2" s="562"/>
      <c r="HJ2" s="562"/>
      <c r="HK2" s="562"/>
      <c r="HL2" s="562"/>
      <c r="HM2" s="562"/>
      <c r="HN2" s="562"/>
      <c r="HO2" s="562" t="s">
        <v>475</v>
      </c>
      <c r="HP2" s="562"/>
      <c r="HQ2" s="562"/>
      <c r="HR2" s="562"/>
      <c r="HS2" s="562"/>
      <c r="HT2" s="562"/>
      <c r="HU2" s="562"/>
      <c r="HV2" s="562"/>
      <c r="HW2" s="562"/>
      <c r="HX2" s="562"/>
      <c r="HY2" s="562"/>
      <c r="HZ2" s="562"/>
      <c r="IA2" s="562"/>
      <c r="IB2" s="562" t="s">
        <v>476</v>
      </c>
      <c r="IC2" s="562"/>
      <c r="ID2" s="562"/>
      <c r="IE2" s="562"/>
      <c r="IF2" s="562"/>
      <c r="IG2" s="562"/>
      <c r="IH2" s="562"/>
      <c r="II2" s="562"/>
      <c r="IJ2" s="562"/>
      <c r="IK2" s="562"/>
      <c r="IL2" s="562"/>
      <c r="IM2" s="562"/>
      <c r="IN2" s="562"/>
      <c r="IO2" s="562" t="s">
        <v>477</v>
      </c>
      <c r="IP2" s="562"/>
      <c r="IQ2" s="562"/>
      <c r="IR2" s="562"/>
      <c r="IS2" s="562"/>
      <c r="IT2" s="562"/>
      <c r="IU2" s="562"/>
      <c r="IV2" s="562"/>
      <c r="IW2" s="562"/>
      <c r="IX2" s="562"/>
      <c r="IY2" s="562"/>
      <c r="IZ2" s="562"/>
      <c r="JA2" s="562"/>
      <c r="JB2" s="561" t="s">
        <v>478</v>
      </c>
      <c r="JC2" s="561"/>
      <c r="JD2" s="561"/>
      <c r="JE2" s="561"/>
      <c r="JF2" s="561"/>
      <c r="JG2" s="561"/>
      <c r="JH2" s="561"/>
      <c r="JI2" s="561"/>
      <c r="JJ2" s="561"/>
      <c r="JK2" s="561"/>
      <c r="JL2" s="561"/>
      <c r="JM2" s="561"/>
      <c r="JN2" s="561"/>
      <c r="JO2" s="561" t="s">
        <v>479</v>
      </c>
      <c r="JP2" s="561"/>
      <c r="JQ2" s="561"/>
      <c r="JR2" s="561"/>
      <c r="JS2" s="561"/>
      <c r="JT2" s="561"/>
      <c r="JU2" s="561"/>
      <c r="JV2" s="561"/>
      <c r="JW2" s="561"/>
      <c r="JX2" s="561"/>
      <c r="JY2" s="561"/>
      <c r="JZ2" s="561"/>
      <c r="KA2" s="561"/>
      <c r="KB2" s="561" t="s">
        <v>480</v>
      </c>
      <c r="KC2" s="561"/>
      <c r="KD2" s="561"/>
      <c r="KE2" s="561"/>
      <c r="KF2" s="561"/>
      <c r="KG2" s="561"/>
      <c r="KH2" s="561"/>
      <c r="KI2" s="561"/>
      <c r="KJ2" s="561"/>
      <c r="KK2" s="561"/>
      <c r="KL2" s="561"/>
      <c r="KM2" s="561"/>
      <c r="KN2" s="561"/>
      <c r="KO2" s="561" t="s">
        <v>481</v>
      </c>
      <c r="KP2" s="561"/>
      <c r="KQ2" s="561"/>
      <c r="KR2" s="561"/>
      <c r="KS2" s="561"/>
      <c r="KT2" s="561"/>
      <c r="KU2" s="561"/>
      <c r="KV2" s="561"/>
      <c r="KW2" s="561"/>
      <c r="KX2" s="561"/>
      <c r="KY2" s="561"/>
      <c r="KZ2" s="561"/>
      <c r="LA2" s="561"/>
      <c r="LB2" s="561" t="s">
        <v>482</v>
      </c>
      <c r="LC2" s="561"/>
      <c r="LD2" s="561"/>
      <c r="LE2" s="561"/>
      <c r="LF2" s="561"/>
      <c r="LG2" s="561"/>
      <c r="LH2" s="561"/>
      <c r="LI2" s="561"/>
      <c r="LJ2" s="561"/>
      <c r="LK2" s="561"/>
      <c r="LL2" s="561"/>
      <c r="LM2" s="561"/>
      <c r="LN2" s="561"/>
      <c r="LO2" s="563" t="s">
        <v>483</v>
      </c>
      <c r="LP2" s="564"/>
      <c r="LQ2" s="564"/>
      <c r="LR2" s="564"/>
      <c r="LS2" s="564"/>
      <c r="LT2" s="564"/>
      <c r="LU2" s="564"/>
      <c r="LV2" s="564"/>
      <c r="LW2" s="564"/>
      <c r="LX2" s="564"/>
      <c r="LY2" s="564"/>
      <c r="LZ2" s="564"/>
      <c r="MA2" s="565"/>
      <c r="MB2" s="561" t="s">
        <v>484</v>
      </c>
      <c r="MC2" s="561"/>
      <c r="MD2" s="561"/>
      <c r="ME2" s="561"/>
      <c r="MF2" s="561"/>
      <c r="MG2" s="561"/>
      <c r="MH2" s="561"/>
      <c r="MI2" s="561"/>
      <c r="MJ2" s="561"/>
      <c r="MK2" s="561"/>
      <c r="ML2" s="561"/>
      <c r="MM2" s="561"/>
      <c r="MN2" s="561"/>
      <c r="MO2" s="561" t="s">
        <v>485</v>
      </c>
      <c r="MP2" s="561"/>
      <c r="MQ2" s="561"/>
      <c r="MR2" s="561"/>
      <c r="MS2" s="561"/>
      <c r="MT2" s="561"/>
      <c r="MU2" s="561"/>
      <c r="MV2" s="561"/>
      <c r="MW2" s="561"/>
      <c r="MX2" s="561"/>
      <c r="MY2" s="561"/>
      <c r="MZ2" s="561"/>
      <c r="NA2" s="561"/>
      <c r="NB2" s="561" t="s">
        <v>486</v>
      </c>
      <c r="NC2" s="561"/>
      <c r="ND2" s="561"/>
      <c r="NE2" s="561"/>
      <c r="NF2" s="561"/>
      <c r="NG2" s="561"/>
      <c r="NH2" s="561"/>
      <c r="NI2" s="561"/>
      <c r="NJ2" s="561"/>
      <c r="NK2" s="561"/>
      <c r="NL2" s="561"/>
      <c r="NM2" s="561"/>
      <c r="NN2" s="561"/>
      <c r="NO2" s="561" t="s">
        <v>487</v>
      </c>
      <c r="NP2" s="561"/>
      <c r="NQ2" s="561"/>
      <c r="NR2" s="561"/>
      <c r="NS2" s="561"/>
      <c r="NT2" s="561"/>
      <c r="NU2" s="561"/>
      <c r="NV2" s="561"/>
      <c r="NW2" s="561"/>
      <c r="NX2" s="561"/>
      <c r="NY2" s="561"/>
      <c r="NZ2" s="561"/>
      <c r="OA2" s="561"/>
      <c r="OB2" s="561" t="s">
        <v>488</v>
      </c>
      <c r="OC2" s="561"/>
      <c r="OD2" s="561"/>
      <c r="OE2" s="561"/>
      <c r="OF2" s="561"/>
      <c r="OG2" s="561"/>
      <c r="OH2" s="561"/>
      <c r="OI2" s="561"/>
      <c r="OJ2" s="561"/>
      <c r="OK2" s="561"/>
      <c r="OL2" s="561"/>
      <c r="OM2" s="561"/>
      <c r="ON2" s="561"/>
      <c r="OO2" s="561" t="s">
        <v>489</v>
      </c>
      <c r="OP2" s="561"/>
      <c r="OQ2" s="561"/>
      <c r="OR2" s="561"/>
      <c r="OS2" s="561"/>
      <c r="OT2" s="561"/>
      <c r="OU2" s="561"/>
      <c r="OV2" s="561"/>
      <c r="OW2" s="561"/>
      <c r="OX2" s="561"/>
      <c r="OY2" s="561"/>
      <c r="OZ2" s="561"/>
      <c r="PA2" s="561"/>
      <c r="PB2" s="561" t="s">
        <v>490</v>
      </c>
      <c r="PC2" s="561"/>
      <c r="PD2" s="561"/>
      <c r="PE2" s="561"/>
      <c r="PF2" s="561"/>
      <c r="PG2" s="561"/>
      <c r="PH2" s="561"/>
      <c r="PI2" s="561"/>
      <c r="PJ2" s="561"/>
      <c r="PK2" s="561"/>
      <c r="PL2" s="561"/>
      <c r="PM2" s="561"/>
      <c r="PN2" s="561"/>
      <c r="PO2" s="561" t="s">
        <v>491</v>
      </c>
      <c r="PP2" s="561"/>
      <c r="PQ2" s="561"/>
      <c r="PR2" s="561"/>
      <c r="PS2" s="561"/>
      <c r="PT2" s="561"/>
      <c r="PU2" s="561"/>
      <c r="PV2" s="561"/>
      <c r="PW2" s="561"/>
      <c r="PX2" s="561"/>
      <c r="PY2" s="561"/>
      <c r="PZ2" s="561"/>
      <c r="QA2" s="561"/>
      <c r="QB2" s="561" t="s">
        <v>492</v>
      </c>
      <c r="QC2" s="561"/>
      <c r="QD2" s="561"/>
      <c r="QE2" s="561"/>
      <c r="QF2" s="561"/>
      <c r="QG2" s="561"/>
      <c r="QH2" s="561"/>
      <c r="QI2" s="561"/>
      <c r="QJ2" s="561"/>
      <c r="QK2" s="561"/>
      <c r="QL2" s="561"/>
      <c r="QM2" s="561"/>
      <c r="QN2" s="561"/>
      <c r="QO2" s="561" t="s">
        <v>493</v>
      </c>
      <c r="QP2" s="561"/>
      <c r="QQ2" s="561"/>
      <c r="QR2" s="561"/>
      <c r="QS2" s="561"/>
      <c r="QT2" s="561"/>
      <c r="QU2" s="561"/>
      <c r="QV2" s="561"/>
      <c r="QW2" s="561"/>
      <c r="QX2" s="561"/>
      <c r="QY2" s="561"/>
      <c r="QZ2" s="561"/>
      <c r="RA2" s="561"/>
      <c r="RB2" s="561" t="s">
        <v>494</v>
      </c>
      <c r="RC2" s="561"/>
      <c r="RD2" s="561"/>
      <c r="RE2" s="561"/>
      <c r="RF2" s="561"/>
      <c r="RG2" s="561"/>
      <c r="RH2" s="561"/>
      <c r="RI2" s="561"/>
      <c r="RJ2" s="561"/>
      <c r="RK2" s="561"/>
      <c r="RL2" s="561"/>
      <c r="RM2" s="561"/>
      <c r="RN2" s="561"/>
      <c r="RO2" s="561" t="s">
        <v>495</v>
      </c>
      <c r="RP2" s="561"/>
      <c r="RQ2" s="561"/>
      <c r="RR2" s="561"/>
      <c r="RS2" s="561"/>
      <c r="RT2" s="561"/>
      <c r="RU2" s="561"/>
      <c r="RV2" s="561"/>
      <c r="RW2" s="561"/>
      <c r="RX2" s="561"/>
      <c r="RY2" s="561"/>
      <c r="RZ2" s="561"/>
      <c r="SA2" s="561"/>
      <c r="SB2" s="561" t="s">
        <v>496</v>
      </c>
      <c r="SC2" s="561"/>
      <c r="SD2" s="561"/>
      <c r="SE2" s="561"/>
      <c r="SF2" s="561"/>
      <c r="SG2" s="561"/>
      <c r="SH2" s="561"/>
      <c r="SI2" s="561"/>
      <c r="SJ2" s="561"/>
      <c r="SK2" s="561"/>
      <c r="SL2" s="561"/>
      <c r="SM2" s="561"/>
      <c r="SN2" s="561"/>
      <c r="SO2" s="561" t="s">
        <v>497</v>
      </c>
      <c r="SP2" s="561"/>
      <c r="SQ2" s="561"/>
      <c r="SR2" s="561"/>
      <c r="SS2" s="561"/>
      <c r="ST2" s="561"/>
      <c r="SU2" s="561"/>
      <c r="SV2" s="561"/>
      <c r="SW2" s="561"/>
      <c r="SX2" s="561"/>
      <c r="SY2" s="561"/>
      <c r="SZ2" s="561"/>
      <c r="TA2" s="561"/>
      <c r="TB2" s="561" t="s">
        <v>498</v>
      </c>
      <c r="TC2" s="561"/>
      <c r="TD2" s="561"/>
      <c r="TE2" s="561"/>
      <c r="TF2" s="561"/>
      <c r="TG2" s="561"/>
      <c r="TH2" s="561"/>
      <c r="TI2" s="561"/>
      <c r="TJ2" s="561"/>
      <c r="TK2" s="561"/>
      <c r="TL2" s="561"/>
      <c r="TM2" s="561"/>
      <c r="TN2" s="561"/>
      <c r="TO2" s="561" t="s">
        <v>499</v>
      </c>
      <c r="TP2" s="561"/>
      <c r="TQ2" s="561"/>
      <c r="TR2" s="561"/>
      <c r="TS2" s="561"/>
      <c r="TT2" s="561"/>
      <c r="TU2" s="561"/>
      <c r="TV2" s="561"/>
      <c r="TW2" s="561"/>
      <c r="TX2" s="561"/>
      <c r="TY2" s="561"/>
      <c r="TZ2" s="561"/>
      <c r="UA2" s="561"/>
      <c r="UB2" s="566" t="s">
        <v>500</v>
      </c>
      <c r="UC2" s="567"/>
      <c r="UD2" s="567"/>
      <c r="UE2" s="567"/>
      <c r="UF2" s="567"/>
      <c r="UG2" s="567"/>
      <c r="UH2" s="567"/>
      <c r="UI2" s="567"/>
      <c r="UJ2" s="567"/>
      <c r="UK2" s="567"/>
      <c r="UL2" s="567"/>
      <c r="UM2" s="567"/>
      <c r="UN2" s="568"/>
      <c r="UO2" s="566" t="s">
        <v>501</v>
      </c>
      <c r="UP2" s="567"/>
      <c r="UQ2" s="567"/>
      <c r="UR2" s="567"/>
      <c r="US2" s="567"/>
      <c r="UT2" s="567"/>
      <c r="UU2" s="567"/>
      <c r="UV2" s="567"/>
      <c r="UW2" s="567"/>
      <c r="UX2" s="567"/>
      <c r="UY2" s="567"/>
      <c r="UZ2" s="567"/>
      <c r="VA2" s="568"/>
      <c r="VB2" s="566" t="s">
        <v>1900</v>
      </c>
      <c r="VC2" s="567"/>
      <c r="VD2" s="567"/>
      <c r="VE2" s="567"/>
      <c r="VF2" s="567"/>
      <c r="VG2" s="567"/>
      <c r="VH2" s="567"/>
      <c r="VI2" s="567"/>
      <c r="VJ2" s="567"/>
      <c r="VK2" s="567"/>
      <c r="VL2" s="567"/>
      <c r="VM2" s="567"/>
      <c r="VN2" s="568"/>
      <c r="VO2" s="566" t="s">
        <v>1899</v>
      </c>
      <c r="VP2" s="567"/>
      <c r="VQ2" s="567"/>
      <c r="VR2" s="567"/>
      <c r="VS2" s="567"/>
      <c r="VT2" s="567"/>
      <c r="VU2" s="567"/>
      <c r="VV2" s="567"/>
      <c r="VW2" s="567"/>
      <c r="VX2" s="567"/>
      <c r="VY2" s="567"/>
      <c r="VZ2" s="567"/>
      <c r="WA2" s="568"/>
      <c r="WB2" s="566" t="s">
        <v>502</v>
      </c>
      <c r="WC2" s="567"/>
      <c r="WD2" s="567"/>
      <c r="WE2" s="567"/>
      <c r="WF2" s="567"/>
      <c r="WG2" s="567"/>
      <c r="WH2" s="567"/>
      <c r="WI2" s="567"/>
      <c r="WJ2" s="567"/>
      <c r="WK2" s="567"/>
      <c r="WL2" s="567"/>
      <c r="WM2" s="567"/>
      <c r="WN2" s="568"/>
      <c r="WO2" s="566" t="s">
        <v>503</v>
      </c>
      <c r="WP2" s="567"/>
      <c r="WQ2" s="567"/>
      <c r="WR2" s="567"/>
      <c r="WS2" s="567"/>
      <c r="WT2" s="567"/>
      <c r="WU2" s="567"/>
      <c r="WV2" s="567"/>
      <c r="WW2" s="567"/>
      <c r="WX2" s="567"/>
      <c r="WY2" s="567"/>
      <c r="WZ2" s="567"/>
      <c r="XA2" s="568"/>
      <c r="XB2" s="566" t="s">
        <v>504</v>
      </c>
      <c r="XC2" s="567"/>
      <c r="XD2" s="567"/>
      <c r="XE2" s="567"/>
      <c r="XF2" s="567"/>
      <c r="XG2" s="567"/>
      <c r="XH2" s="567"/>
      <c r="XI2" s="567"/>
      <c r="XJ2" s="567"/>
      <c r="XK2" s="567"/>
      <c r="XL2" s="567"/>
      <c r="XM2" s="567"/>
      <c r="XN2" s="568"/>
      <c r="XO2" s="566" t="s">
        <v>505</v>
      </c>
      <c r="XP2" s="567"/>
      <c r="XQ2" s="567"/>
      <c r="XR2" s="567"/>
      <c r="XS2" s="567"/>
      <c r="XT2" s="567"/>
      <c r="XU2" s="567"/>
      <c r="XV2" s="567"/>
      <c r="XW2" s="567"/>
      <c r="XX2" s="567"/>
      <c r="XY2" s="567"/>
      <c r="XZ2" s="567"/>
      <c r="YA2" s="568"/>
      <c r="YB2" s="566" t="s">
        <v>506</v>
      </c>
      <c r="YC2" s="567"/>
      <c r="YD2" s="567"/>
      <c r="YE2" s="567"/>
      <c r="YF2" s="567"/>
      <c r="YG2" s="567"/>
      <c r="YH2" s="567"/>
      <c r="YI2" s="567"/>
      <c r="YJ2" s="567"/>
      <c r="YK2" s="567"/>
      <c r="YL2" s="567"/>
      <c r="YM2" s="567"/>
      <c r="YN2" s="568"/>
      <c r="YO2" s="566" t="s">
        <v>507</v>
      </c>
      <c r="YP2" s="567"/>
      <c r="YQ2" s="567"/>
      <c r="YR2" s="567"/>
      <c r="YS2" s="567"/>
      <c r="YT2" s="567"/>
      <c r="YU2" s="567"/>
      <c r="YV2" s="567"/>
      <c r="YW2" s="567"/>
      <c r="YX2" s="567"/>
      <c r="YY2" s="567"/>
      <c r="YZ2" s="567"/>
      <c r="ZA2" s="568"/>
      <c r="ZB2" s="566" t="s">
        <v>508</v>
      </c>
      <c r="ZC2" s="567"/>
      <c r="ZD2" s="567"/>
      <c r="ZE2" s="567"/>
      <c r="ZF2" s="567"/>
      <c r="ZG2" s="567"/>
      <c r="ZH2" s="567"/>
      <c r="ZI2" s="567"/>
      <c r="ZJ2" s="567"/>
      <c r="ZK2" s="567"/>
      <c r="ZL2" s="567"/>
      <c r="ZM2" s="567"/>
      <c r="ZN2" s="568"/>
      <c r="ZO2" s="566" t="s">
        <v>509</v>
      </c>
      <c r="ZP2" s="567"/>
      <c r="ZQ2" s="567"/>
      <c r="ZR2" s="567"/>
      <c r="ZS2" s="567"/>
      <c r="ZT2" s="567"/>
      <c r="ZU2" s="567"/>
      <c r="ZV2" s="567"/>
      <c r="ZW2" s="567"/>
      <c r="ZX2" s="567"/>
      <c r="ZY2" s="567"/>
      <c r="ZZ2" s="567"/>
      <c r="AAA2" s="568"/>
      <c r="AAB2" s="569" t="s">
        <v>510</v>
      </c>
      <c r="AAC2" s="570"/>
      <c r="AAD2" s="570"/>
      <c r="AAE2" s="570"/>
      <c r="AAF2" s="570"/>
      <c r="AAG2" s="570"/>
      <c r="AAH2" s="570"/>
      <c r="AAI2" s="570"/>
      <c r="AAJ2" s="570"/>
      <c r="AAK2" s="570"/>
      <c r="AAL2" s="570"/>
      <c r="AAM2" s="570"/>
      <c r="AAN2" s="571"/>
      <c r="AAO2" s="569" t="s">
        <v>511</v>
      </c>
      <c r="AAP2" s="570"/>
      <c r="AAQ2" s="570"/>
      <c r="AAR2" s="570"/>
      <c r="AAS2" s="570"/>
      <c r="AAT2" s="570"/>
      <c r="AAU2" s="570"/>
      <c r="AAV2" s="570"/>
      <c r="AAW2" s="570"/>
      <c r="AAX2" s="570"/>
      <c r="AAY2" s="570"/>
      <c r="AAZ2" s="570"/>
      <c r="ABA2" s="571"/>
      <c r="ABB2" s="569" t="s">
        <v>512</v>
      </c>
      <c r="ABC2" s="570"/>
      <c r="ABD2" s="570"/>
      <c r="ABE2" s="570"/>
      <c r="ABF2" s="570"/>
      <c r="ABG2" s="570"/>
      <c r="ABH2" s="570"/>
      <c r="ABI2" s="570"/>
      <c r="ABJ2" s="570"/>
      <c r="ABK2" s="570"/>
      <c r="ABL2" s="570"/>
      <c r="ABM2" s="570"/>
      <c r="ABN2" s="571"/>
      <c r="ABO2" s="569" t="s">
        <v>513</v>
      </c>
      <c r="ABP2" s="570"/>
      <c r="ABQ2" s="570"/>
      <c r="ABR2" s="570"/>
      <c r="ABS2" s="570"/>
      <c r="ABT2" s="570"/>
      <c r="ABU2" s="570"/>
      <c r="ABV2" s="570"/>
      <c r="ABW2" s="570"/>
      <c r="ABX2" s="570"/>
      <c r="ABY2" s="570"/>
      <c r="ABZ2" s="570"/>
      <c r="ACA2" s="571"/>
      <c r="ACB2" s="569" t="s">
        <v>514</v>
      </c>
      <c r="ACC2" s="570"/>
      <c r="ACD2" s="570"/>
      <c r="ACE2" s="570"/>
      <c r="ACF2" s="570"/>
      <c r="ACG2" s="570"/>
      <c r="ACH2" s="570"/>
      <c r="ACI2" s="570"/>
      <c r="ACJ2" s="570"/>
      <c r="ACK2" s="570"/>
      <c r="ACL2" s="570"/>
      <c r="ACM2" s="570"/>
      <c r="ACN2" s="571"/>
      <c r="ACO2" s="569" t="s">
        <v>515</v>
      </c>
      <c r="ACP2" s="570"/>
      <c r="ACQ2" s="570"/>
      <c r="ACR2" s="570"/>
      <c r="ACS2" s="570"/>
      <c r="ACT2" s="570"/>
      <c r="ACU2" s="570"/>
      <c r="ACV2" s="570"/>
      <c r="ACW2" s="570"/>
      <c r="ACX2" s="570"/>
      <c r="ACY2" s="570"/>
      <c r="ACZ2" s="570"/>
      <c r="ADA2" s="571"/>
      <c r="ADB2" s="569" t="s">
        <v>516</v>
      </c>
      <c r="ADC2" s="570"/>
      <c r="ADD2" s="570"/>
      <c r="ADE2" s="570"/>
      <c r="ADF2" s="570"/>
      <c r="ADG2" s="570"/>
      <c r="ADH2" s="570"/>
      <c r="ADI2" s="570"/>
      <c r="ADJ2" s="570"/>
      <c r="ADK2" s="570"/>
      <c r="ADL2" s="570"/>
      <c r="ADM2" s="570"/>
      <c r="ADN2" s="571"/>
      <c r="ADO2" s="569" t="s">
        <v>517</v>
      </c>
      <c r="ADP2" s="570"/>
      <c r="ADQ2" s="570"/>
      <c r="ADR2" s="570"/>
      <c r="ADS2" s="570"/>
      <c r="ADT2" s="570"/>
      <c r="ADU2" s="570"/>
      <c r="ADV2" s="570"/>
      <c r="ADW2" s="570"/>
      <c r="ADX2" s="570"/>
      <c r="ADY2" s="570"/>
      <c r="ADZ2" s="570"/>
      <c r="AEA2" s="571"/>
      <c r="AEB2" s="569" t="s">
        <v>518</v>
      </c>
      <c r="AEC2" s="570"/>
      <c r="AED2" s="570"/>
      <c r="AEE2" s="570"/>
      <c r="AEF2" s="570"/>
      <c r="AEG2" s="570"/>
      <c r="AEH2" s="570"/>
      <c r="AEI2" s="570"/>
      <c r="AEJ2" s="570"/>
      <c r="AEK2" s="570"/>
      <c r="AEL2" s="570"/>
      <c r="AEM2" s="570"/>
      <c r="AEN2" s="571"/>
      <c r="AEO2" s="569" t="s">
        <v>519</v>
      </c>
      <c r="AEP2" s="570"/>
      <c r="AEQ2" s="570"/>
      <c r="AER2" s="570"/>
      <c r="AES2" s="570"/>
      <c r="AET2" s="570"/>
      <c r="AEU2" s="570"/>
      <c r="AEV2" s="570"/>
      <c r="AEW2" s="570"/>
      <c r="AEX2" s="570"/>
      <c r="AEY2" s="570"/>
      <c r="AEZ2" s="570"/>
      <c r="AFA2" s="571"/>
      <c r="AFB2" s="569" t="s">
        <v>520</v>
      </c>
      <c r="AFC2" s="570"/>
      <c r="AFD2" s="570"/>
      <c r="AFE2" s="570"/>
      <c r="AFF2" s="570"/>
      <c r="AFG2" s="570"/>
      <c r="AFH2" s="570"/>
      <c r="AFI2" s="570"/>
      <c r="AFJ2" s="570"/>
      <c r="AFK2" s="570"/>
      <c r="AFL2" s="570"/>
      <c r="AFM2" s="570"/>
      <c r="AFN2" s="571"/>
      <c r="AFO2" s="569" t="s">
        <v>521</v>
      </c>
      <c r="AFP2" s="570"/>
      <c r="AFQ2" s="570"/>
      <c r="AFR2" s="570"/>
      <c r="AFS2" s="570"/>
      <c r="AFT2" s="570"/>
      <c r="AFU2" s="570"/>
      <c r="AFV2" s="570"/>
      <c r="AFW2" s="570"/>
      <c r="AFX2" s="570"/>
      <c r="AFY2" s="570"/>
      <c r="AFZ2" s="570"/>
      <c r="AGA2" s="571"/>
      <c r="AGB2" s="569" t="s">
        <v>522</v>
      </c>
      <c r="AGC2" s="570"/>
      <c r="AGD2" s="570"/>
      <c r="AGE2" s="570"/>
      <c r="AGF2" s="570"/>
      <c r="AGG2" s="570"/>
      <c r="AGH2" s="570"/>
      <c r="AGI2" s="570"/>
      <c r="AGJ2" s="570"/>
      <c r="AGK2" s="570"/>
      <c r="AGL2" s="570"/>
      <c r="AGM2" s="570"/>
      <c r="AGN2" s="571"/>
      <c r="AGO2" s="569" t="s">
        <v>523</v>
      </c>
      <c r="AGP2" s="570"/>
      <c r="AGQ2" s="570"/>
      <c r="AGR2" s="570"/>
      <c r="AGS2" s="570"/>
      <c r="AGT2" s="570"/>
      <c r="AGU2" s="570"/>
      <c r="AGV2" s="570"/>
      <c r="AGW2" s="570"/>
      <c r="AGX2" s="570"/>
      <c r="AGY2" s="570"/>
      <c r="AGZ2" s="570"/>
      <c r="AHA2" s="571"/>
      <c r="AHB2" s="569" t="s">
        <v>524</v>
      </c>
      <c r="AHC2" s="570"/>
      <c r="AHD2" s="570"/>
      <c r="AHE2" s="570"/>
      <c r="AHF2" s="570"/>
      <c r="AHG2" s="570"/>
      <c r="AHH2" s="570"/>
      <c r="AHI2" s="570"/>
      <c r="AHJ2" s="570"/>
      <c r="AHK2" s="570"/>
      <c r="AHL2" s="570"/>
      <c r="AHM2" s="570"/>
      <c r="AHN2" s="571"/>
      <c r="AHO2" s="326" t="s">
        <v>525</v>
      </c>
      <c r="AHP2" s="326"/>
      <c r="AHQ2" s="326"/>
      <c r="AHR2" s="326"/>
      <c r="AHS2" s="326"/>
      <c r="AHT2" s="326"/>
      <c r="AHU2" s="326"/>
      <c r="AHV2" s="326"/>
      <c r="AHW2" s="326"/>
      <c r="AHX2" s="326"/>
      <c r="AHY2" s="326"/>
      <c r="AHZ2" s="326"/>
      <c r="AIA2" s="326"/>
      <c r="AIB2" s="569" t="s">
        <v>526</v>
      </c>
      <c r="AIC2" s="570"/>
      <c r="AID2" s="570"/>
      <c r="AIE2" s="570"/>
      <c r="AIF2" s="570"/>
      <c r="AIG2" s="570"/>
      <c r="AIH2" s="570"/>
      <c r="AII2" s="570"/>
      <c r="AIJ2" s="570"/>
      <c r="AIK2" s="570"/>
      <c r="AIL2" s="570"/>
      <c r="AIM2" s="570"/>
      <c r="AIN2" s="571"/>
      <c r="AIO2" s="569" t="s">
        <v>527</v>
      </c>
      <c r="AIP2" s="570"/>
      <c r="AIQ2" s="570"/>
      <c r="AIR2" s="570"/>
      <c r="AIS2" s="570"/>
      <c r="AIT2" s="570"/>
      <c r="AIU2" s="570"/>
      <c r="AIV2" s="570"/>
      <c r="AIW2" s="570"/>
      <c r="AIX2" s="570"/>
      <c r="AIY2" s="570"/>
      <c r="AIZ2" s="570"/>
      <c r="AJA2" s="571"/>
      <c r="AJB2" s="572" t="s">
        <v>528</v>
      </c>
      <c r="AJC2" s="573"/>
      <c r="AJD2" s="573"/>
      <c r="AJE2" s="573"/>
      <c r="AJF2" s="573"/>
      <c r="AJG2" s="573"/>
      <c r="AJH2" s="573"/>
      <c r="AJI2" s="573"/>
      <c r="AJJ2" s="573"/>
      <c r="AJK2" s="573"/>
      <c r="AJL2" s="573"/>
      <c r="AJM2" s="573"/>
      <c r="AJN2" s="574"/>
      <c r="AJO2" s="572" t="s">
        <v>529</v>
      </c>
      <c r="AJP2" s="573"/>
      <c r="AJQ2" s="573"/>
      <c r="AJR2" s="573"/>
      <c r="AJS2" s="573"/>
      <c r="AJT2" s="573"/>
      <c r="AJU2" s="573"/>
      <c r="AJV2" s="573"/>
      <c r="AJW2" s="573"/>
      <c r="AJX2" s="573"/>
      <c r="AJY2" s="573"/>
      <c r="AJZ2" s="573"/>
      <c r="AKA2" s="574"/>
      <c r="AKB2" s="572" t="s">
        <v>530</v>
      </c>
      <c r="AKC2" s="573"/>
      <c r="AKD2" s="573"/>
      <c r="AKE2" s="573"/>
      <c r="AKF2" s="573"/>
      <c r="AKG2" s="573"/>
      <c r="AKH2" s="573"/>
      <c r="AKI2" s="573"/>
      <c r="AKJ2" s="573"/>
      <c r="AKK2" s="573"/>
      <c r="AKL2" s="573"/>
      <c r="AKM2" s="573"/>
      <c r="AKN2" s="574"/>
      <c r="AKO2" s="572" t="s">
        <v>531</v>
      </c>
      <c r="AKP2" s="573"/>
      <c r="AKQ2" s="573"/>
      <c r="AKR2" s="573"/>
      <c r="AKS2" s="573"/>
      <c r="AKT2" s="573"/>
      <c r="AKU2" s="573"/>
      <c r="AKV2" s="573"/>
      <c r="AKW2" s="573"/>
      <c r="AKX2" s="573"/>
      <c r="AKY2" s="573"/>
      <c r="AKZ2" s="573"/>
      <c r="ALA2" s="574"/>
      <c r="ALB2" s="572" t="s">
        <v>532</v>
      </c>
      <c r="ALC2" s="573"/>
      <c r="ALD2" s="573"/>
      <c r="ALE2" s="573"/>
      <c r="ALF2" s="573"/>
      <c r="ALG2" s="573"/>
      <c r="ALH2" s="573"/>
      <c r="ALI2" s="573"/>
      <c r="ALJ2" s="573"/>
      <c r="ALK2" s="573"/>
      <c r="ALL2" s="573"/>
      <c r="ALM2" s="573"/>
      <c r="ALN2" s="574"/>
      <c r="ALO2" s="572" t="s">
        <v>533</v>
      </c>
      <c r="ALP2" s="573"/>
      <c r="ALQ2" s="573"/>
      <c r="ALR2" s="573"/>
      <c r="ALS2" s="573"/>
      <c r="ALT2" s="573"/>
      <c r="ALU2" s="573"/>
      <c r="ALV2" s="573"/>
      <c r="ALW2" s="573"/>
      <c r="ALX2" s="573"/>
      <c r="ALY2" s="573"/>
      <c r="ALZ2" s="573"/>
      <c r="AMA2" s="574"/>
      <c r="AMB2" s="572" t="s">
        <v>534</v>
      </c>
      <c r="AMC2" s="573"/>
      <c r="AMD2" s="573"/>
      <c r="AME2" s="573"/>
      <c r="AMF2" s="573"/>
      <c r="AMG2" s="573"/>
      <c r="AMH2" s="573"/>
      <c r="AMI2" s="573"/>
      <c r="AMJ2" s="573"/>
      <c r="AMK2" s="573"/>
      <c r="AML2" s="573"/>
      <c r="AMM2" s="573"/>
      <c r="AMN2" s="574"/>
      <c r="AMO2" s="572" t="s">
        <v>535</v>
      </c>
      <c r="AMP2" s="573"/>
      <c r="AMQ2" s="573"/>
      <c r="AMR2" s="573"/>
      <c r="AMS2" s="573"/>
      <c r="AMT2" s="573"/>
      <c r="AMU2" s="573"/>
      <c r="AMV2" s="573"/>
      <c r="AMW2" s="573"/>
      <c r="AMX2" s="573"/>
      <c r="AMY2" s="573"/>
      <c r="AMZ2" s="573"/>
      <c r="ANA2" s="574"/>
      <c r="ANB2" s="572" t="s">
        <v>536</v>
      </c>
      <c r="ANC2" s="573"/>
      <c r="AND2" s="573"/>
      <c r="ANE2" s="573"/>
      <c r="ANF2" s="573"/>
      <c r="ANG2" s="573"/>
      <c r="ANH2" s="573"/>
      <c r="ANI2" s="573"/>
      <c r="ANJ2" s="573"/>
      <c r="ANK2" s="573"/>
      <c r="ANL2" s="573"/>
      <c r="ANM2" s="573"/>
      <c r="ANN2" s="574"/>
      <c r="ANO2" s="572" t="s">
        <v>537</v>
      </c>
      <c r="ANP2" s="573"/>
      <c r="ANQ2" s="573"/>
      <c r="ANR2" s="573"/>
      <c r="ANS2" s="573"/>
      <c r="ANT2" s="573"/>
      <c r="ANU2" s="573"/>
      <c r="ANV2" s="573"/>
      <c r="ANW2" s="573"/>
      <c r="ANX2" s="573"/>
      <c r="ANY2" s="573"/>
      <c r="ANZ2" s="573"/>
      <c r="AOA2" s="574"/>
      <c r="AOB2" s="572" t="s">
        <v>538</v>
      </c>
      <c r="AOC2" s="573"/>
      <c r="AOD2" s="573"/>
      <c r="AOE2" s="573"/>
      <c r="AOF2" s="573"/>
      <c r="AOG2" s="573"/>
      <c r="AOH2" s="573"/>
      <c r="AOI2" s="573"/>
      <c r="AOJ2" s="573"/>
      <c r="AOK2" s="573"/>
      <c r="AOL2" s="573"/>
      <c r="AOM2" s="573"/>
      <c r="AON2" s="574"/>
      <c r="AOO2" s="572" t="s">
        <v>539</v>
      </c>
      <c r="AOP2" s="573"/>
      <c r="AOQ2" s="573"/>
      <c r="AOR2" s="573"/>
      <c r="AOS2" s="573"/>
      <c r="AOT2" s="573"/>
      <c r="AOU2" s="573"/>
      <c r="AOV2" s="573"/>
      <c r="AOW2" s="573"/>
      <c r="AOX2" s="573"/>
      <c r="AOY2" s="573"/>
      <c r="AOZ2" s="573"/>
      <c r="APA2" s="574"/>
      <c r="APB2" s="575" t="s">
        <v>540</v>
      </c>
      <c r="APC2" s="576"/>
      <c r="APD2" s="576"/>
      <c r="APE2" s="576"/>
      <c r="APF2" s="576"/>
      <c r="APG2" s="576"/>
      <c r="APH2" s="576"/>
      <c r="API2" s="576"/>
      <c r="APJ2" s="576"/>
      <c r="APK2" s="576"/>
      <c r="APL2" s="576"/>
      <c r="APM2" s="576"/>
      <c r="APN2" s="577"/>
      <c r="APO2" s="575" t="s">
        <v>541</v>
      </c>
      <c r="APP2" s="576"/>
      <c r="APQ2" s="576"/>
      <c r="APR2" s="576"/>
      <c r="APS2" s="576"/>
      <c r="APT2" s="576"/>
      <c r="APU2" s="576"/>
      <c r="APV2" s="576"/>
      <c r="APW2" s="576"/>
      <c r="APX2" s="576"/>
      <c r="APY2" s="576"/>
      <c r="APZ2" s="576"/>
      <c r="AQA2" s="577"/>
      <c r="AQB2" s="575" t="s">
        <v>542</v>
      </c>
      <c r="AQC2" s="576"/>
      <c r="AQD2" s="576"/>
      <c r="AQE2" s="576"/>
      <c r="AQF2" s="576"/>
      <c r="AQG2" s="576"/>
      <c r="AQH2" s="576"/>
      <c r="AQI2" s="576"/>
      <c r="AQJ2" s="576"/>
      <c r="AQK2" s="576"/>
      <c r="AQL2" s="576"/>
      <c r="AQM2" s="576"/>
      <c r="AQN2" s="577"/>
      <c r="AQO2" s="575" t="s">
        <v>543</v>
      </c>
      <c r="AQP2" s="576"/>
      <c r="AQQ2" s="576"/>
      <c r="AQR2" s="576"/>
      <c r="AQS2" s="576"/>
      <c r="AQT2" s="576"/>
      <c r="AQU2" s="576"/>
      <c r="AQV2" s="576"/>
      <c r="AQW2" s="576"/>
      <c r="AQX2" s="576"/>
      <c r="AQY2" s="576"/>
      <c r="AQZ2" s="576"/>
      <c r="ARA2" s="577"/>
      <c r="ARB2" s="575" t="s">
        <v>544</v>
      </c>
      <c r="ARC2" s="576"/>
      <c r="ARD2" s="576"/>
      <c r="ARE2" s="576"/>
      <c r="ARF2" s="576"/>
      <c r="ARG2" s="576"/>
      <c r="ARH2" s="576"/>
      <c r="ARI2" s="576"/>
      <c r="ARJ2" s="576"/>
      <c r="ARK2" s="576"/>
      <c r="ARL2" s="576"/>
      <c r="ARM2" s="576"/>
      <c r="ARN2" s="577"/>
      <c r="ARO2" s="575" t="s">
        <v>545</v>
      </c>
      <c r="ARP2" s="576"/>
      <c r="ARQ2" s="576"/>
      <c r="ARR2" s="576"/>
      <c r="ARS2" s="576"/>
      <c r="ART2" s="576"/>
      <c r="ARU2" s="576"/>
      <c r="ARV2" s="576"/>
      <c r="ARW2" s="576"/>
      <c r="ARX2" s="576"/>
      <c r="ARY2" s="576"/>
      <c r="ARZ2" s="576"/>
      <c r="ASA2" s="577"/>
      <c r="ASB2" s="575" t="s">
        <v>546</v>
      </c>
      <c r="ASC2" s="576"/>
      <c r="ASD2" s="576"/>
      <c r="ASE2" s="576"/>
      <c r="ASF2" s="576"/>
      <c r="ASG2" s="576"/>
      <c r="ASH2" s="576"/>
      <c r="ASI2" s="576"/>
      <c r="ASJ2" s="576"/>
      <c r="ASK2" s="576"/>
      <c r="ASL2" s="576"/>
      <c r="ASM2" s="576"/>
      <c r="ASN2" s="577"/>
      <c r="ASO2" s="575" t="s">
        <v>547</v>
      </c>
      <c r="ASP2" s="576"/>
      <c r="ASQ2" s="576"/>
      <c r="ASR2" s="576"/>
      <c r="ASS2" s="576"/>
      <c r="AST2" s="576"/>
      <c r="ASU2" s="576"/>
      <c r="ASV2" s="576"/>
      <c r="ASW2" s="576"/>
      <c r="ASX2" s="576"/>
      <c r="ASY2" s="576"/>
      <c r="ASZ2" s="576"/>
      <c r="ATA2" s="577"/>
      <c r="ATB2" s="575" t="s">
        <v>548</v>
      </c>
      <c r="ATC2" s="576"/>
      <c r="ATD2" s="576"/>
      <c r="ATE2" s="576"/>
      <c r="ATF2" s="576"/>
      <c r="ATG2" s="576"/>
      <c r="ATH2" s="576"/>
      <c r="ATI2" s="576"/>
      <c r="ATJ2" s="576"/>
      <c r="ATK2" s="576"/>
      <c r="ATL2" s="576"/>
      <c r="ATM2" s="576"/>
      <c r="ATN2" s="577"/>
      <c r="ATO2" s="575" t="s">
        <v>549</v>
      </c>
      <c r="ATP2" s="576"/>
      <c r="ATQ2" s="576"/>
      <c r="ATR2" s="576"/>
      <c r="ATS2" s="576"/>
      <c r="ATT2" s="576"/>
      <c r="ATU2" s="576"/>
      <c r="ATV2" s="576"/>
      <c r="ATW2" s="576"/>
      <c r="ATX2" s="576"/>
      <c r="ATY2" s="576"/>
      <c r="ATZ2" s="576"/>
      <c r="AUA2" s="577"/>
      <c r="AUB2" s="578" t="s">
        <v>550</v>
      </c>
      <c r="AUC2" s="579"/>
      <c r="AUD2" s="579"/>
      <c r="AUE2" s="579"/>
      <c r="AUF2" s="579"/>
      <c r="AUG2" s="579"/>
      <c r="AUH2" s="579"/>
      <c r="AUI2" s="579"/>
      <c r="AUJ2" s="579"/>
      <c r="AUK2" s="579"/>
      <c r="AUL2" s="579"/>
      <c r="AUM2" s="579"/>
      <c r="AUN2" s="580"/>
      <c r="AUO2" s="578" t="s">
        <v>551</v>
      </c>
      <c r="AUP2" s="579"/>
      <c r="AUQ2" s="579"/>
      <c r="AUR2" s="579"/>
      <c r="AUS2" s="579"/>
      <c r="AUT2" s="579"/>
      <c r="AUU2" s="579"/>
      <c r="AUV2" s="579"/>
      <c r="AUW2" s="579"/>
      <c r="AUX2" s="579"/>
      <c r="AUY2" s="579"/>
      <c r="AUZ2" s="579"/>
      <c r="AVA2" s="581"/>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2025-08-18T20:04:43Z</cp:lastPrinted>
  <dcterms:created xsi:type="dcterms:W3CDTF">1996-10-14T23:33:28Z</dcterms:created>
  <dcterms:modified xsi:type="dcterms:W3CDTF">2025-09-17T12:01:53Z</dcterms:modified>
</cp:coreProperties>
</file>