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 activeTab="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<sst xmlns="http://schemas.openxmlformats.org/spreadsheetml/2006/main" count="1762" uniqueCount="438">
  <si>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</si>
  <si>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</si>
  <si>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</si>
  <si>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</si>
  <si>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</si>
  <si>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</si>
  <si>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</si>
  <si>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</si>
  <si>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</si>
  <si>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</si>
  <si>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</si>
  <si>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</si>
  <si>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</si>
  <si>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</si>
  <si>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</si>
  <si>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</si>
  <si>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</si>
  <si>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</si>
  <si>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</si>
  <si>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</si>
  <si>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</si>
  <si>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</si>
  <si>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</si>
  <si>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</si>
  <si>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</si>
  <si>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</si>
  <si>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</si>
  <si>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</si>
  <si>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</si>
  <si>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</si>
  <si>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</si>
  <si>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</si>
  <si>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</si>
  <si>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</si>
  <si>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</si>
  <si>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</si>
  <si>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</si>
  <si>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</si>
  <si>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</si>
  <si>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</si>
  <si>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</si>
  <si>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</si>
  <si>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</si>
  <si>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</si>
  <si>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</si>
  <si>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</si>
  <si>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</si>
  <si>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</si>
  <si>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</si>
  <si>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</si>
  <si>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</si>
  <si>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</si>
  <si>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</si>
  <si>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</si>
  <si>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</si>
  <si>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</si>
  <si>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</si>
  <si>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</si>
  <si>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</si>
  <si>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</si>
  <si>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</si>
  <si>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</si>
  <si>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</si>
  <si>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</si>
  <si>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</si>
  <si>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</si>
  <si>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</si>
  <si>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</si>
  <si>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</si>
  <si>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</si>
  <si>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</si>
  <si>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</si>
  <si>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</si>
  <si>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</si>
  <si>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</si>
  <si>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</si>
  <si>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</si>
  <si>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</si>
  <si>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</si>
  <si>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</si>
  <si>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</si>
  <si>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</si>
  <si>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</si>
  <si>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</si>
  <si>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</si>
  <si>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</si>
  <si>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</si>
  <si>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</si>
  <si>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</si>
  <si>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</si>
  <si>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</si>
  <si>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</si>
  <si>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</si>
  <si>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</si>
  <si>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</si>
  <si>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</si>
  <si>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</si>
  <si>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</si>
  <si>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</si>
  <si>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</si>
  <si>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</si>
  <si>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</si>
  <si>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</si>
  <si>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</si>
  <si>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</si>
  <si>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</si>
  <si>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</si>
  <si>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</si>
  <si>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</si>
  <si>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</si>
  <si>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</si>
  <si>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</si>
  <si>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</si>
  <si>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</si>
  <si>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</si>
  <si>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</si>
  <si>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</si>
  <si>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</si>
  <si>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</si>
  <si>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</si>
  <si>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</si>
  <si>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</si>
  <si>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</si>
  <si>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</si>
  <si>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</si>
  <si>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</si>
  <si>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</si>
  <si>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</si>
  <si>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</si>
  <si>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</si>
  <si>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</si>
  <si>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</si>
  <si>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</si>
  <si>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</si>
  <si>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</si>
  <si>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</si>
  <si>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</si>
  <si>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</si>
  <si>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</si>
  <si>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</si>
  <si>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</si>
  <si>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</si>
  <si>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</si>
  <si>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</si>
  <si>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</si>
  <si>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</si>
  <si>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</si>
  <si>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</si>
  <si>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</si>
  <si>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</si>
  <si>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</si>
  <si>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</si>
  <si>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</si>
  <si>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</si>
  <si>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</si>
  <si>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</si>
  <si>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</si>
  <si>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</si>
  <si>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</si>
  <si>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</si>
  <si>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</si>
  <si>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</si>
  <si>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</si>
  <si>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</si>
  <si>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</si>
  <si>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</si>
  <si>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</si>
  <si>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</si>
  <si>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</si>
  <si>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</si>
  <si>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</si>
  <si>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</si>
  <si>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</si>
  <si>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</si>
  <si>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</si>
  <si>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</si>
  <si>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</si>
  <si>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</si>
  <si>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</si>
  <si>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</si>
  <si>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</si>
  <si>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</si>
  <si>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</si>
  <si>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</si>
  <si>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</si>
  <si>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</si>
  <si>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</si>
  <si>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</si>
  <si>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</si>
  <si>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</si>
  <si>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</si>
  <si>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</si>
  <si>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</si>
  <si>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</si>
  <si>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</si>
  <si>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</si>
  <si>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</si>
  <si>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</si>
  <si>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</si>
  <si>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</si>
  <si>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</si>
  <si>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</si>
  <si>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</si>
  <si>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</si>
  <si>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</si>
  <si>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</si>
  <si>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</si>
  <si>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</si>
  <si>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</si>
  <si>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</si>
  <si>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</si>
  <si>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</si>
  <si>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</si>
  <si>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</si>
  <si>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</si>
  <si>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</si>
  <si>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</si>
  <si>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</si>
  <si>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</si>
  <si>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</si>
  <si>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</si>
  <si>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</si>
  <si>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</si>
  <si>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</si>
  <si>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</si>
  <si>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</si>
  <si>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</si>
  <si>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</si>
  <si>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</si>
  <si>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</si>
  <si>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</si>
  <si>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</si>
  <si>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</si>
  <si>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</si>
  <si>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</si>
  <si>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</si>
  <si>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</si>
  <si>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</si>
  <si>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</si>
  <si>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</si>
  <si>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</si>
  <si>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</si>
  <si>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</si>
  <si>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</si>
  <si>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</si>
  <si>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</si>
  <si>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</si>
  <si>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</si>
  <si>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</si>
  <si>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</si>
  <si>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</si>
  <si>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</si>
  <si>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</si>
  <si>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</si>
  <si>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</si>
  <si>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</si>
  <si>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</si>
  <si>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</si>
  <si>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</si>
  <si>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</si>
  <si>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</si>
  <si>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</si>
  <si>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</si>
  <si>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</si>
  <si>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</si>
  <si>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</si>
  <si>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</si>
  <si>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</si>
  <si>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</si>
  <si>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</si>
  <si>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</si>
  <si>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</si>
  <si>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</si>
  <si>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</si>
  <si>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</si>
  <si>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</si>
  <si>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</si>
  <si>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</si>
  <si>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</si>
  <si>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</si>
  <si>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</si>
  <si>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</si>
  <si>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</si>
  <si>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</si>
  <si>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</si>
  <si>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</si>
  <si>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</si>
  <si>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</si>
  <si>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</si>
  <si>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</si>
  <si>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</si>
  <si>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</si>
  <si>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</si>
  <si>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</si>
  <si>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</si>
  <si>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</si>
  <si>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</si>
  <si>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</si>
  <si>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</si>
  <si>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</si>
  <si>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</si>
  <si>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</si>
  <si>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</si>
  <si>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</si>
  <si>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</si>
  <si>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</si>
  <si>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</si>
  <si>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</si>
  <si>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</si>
  <si>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</si>
  <si>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</si>
  <si>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</si>
  <si>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</si>
  <si>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</si>
  <si>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</si>
  <si>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</si>
  <si>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</si>
  <si>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</si>
  <si>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</si>
  <si>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</si>
  <si>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</si>
  <si>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</si>
  <si>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</si>
  <si>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</si>
  <si>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</si>
  <si>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</si>
  <si>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</si>
  <si>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</si>
  <si>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</si>
  <si>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</si>
  <si>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</si>
  <si>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</si>
  <si>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</si>
  <si>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</si>
  <si>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</si>
  <si>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</si>
  <si>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</si>
  <si>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</si>
  <si>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</si>
  <si>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</si>
  <si>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</si>
  <si>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</si>
  <si>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</si>
  <si>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</si>
  <si>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</si>
  <si>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</si>
  <si>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</si>
  <si>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</si>
  <si>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</si>
  <si>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</si>
  <si>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</si>
  <si>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</si>
  <si>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</si>
  <si>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</si>
  <si>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</si>
  <si>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</si>
  <si>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</si>
  <si>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</si>
  <si>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</si>
  <si>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</si>
  <si>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</si>
  <si>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</si>
  <si>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</si>
  <si>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</si>
  <si>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</si>
  <si>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</si>
  <si>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</si>
  <si>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</si>
  <si>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</si>
  <si>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</si>
  <si>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</si>
  <si>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</si>
  <si>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</si>
  <si>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</si>
  <si>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</si>
  <si>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</si>
  <si>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</si>
  <si>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</si>
  <si>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</si>
  <si>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</si>
  <si>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</si>
  <si>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</si>
  <si>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</si>
  <si>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</si>
  <si>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</si>
  <si>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</si>
  <si>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</si>
  <si>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</si>
  <si>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</si>
  <si>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</si>
  <si>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</si>
  <si>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</si>
  <si>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</si>
  <si>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</si>
  <si>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</si>
  <si>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</si>
  <si>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</si>
  <si>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</si>
  <si>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</si>
  <si>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</si>
  <si>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</si>
  <si>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</si>
  <si>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</si>
  <si>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</si>
  <si>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</si>
  <si>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</si>
  <si>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</si>
  <si>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</si>
  <si>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</si>
  <si>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</si>
  <si>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</si>
  <si>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</si>
  <si>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</si>
  <si>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</si>
  <si>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</si>
  <si>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</si>
  <si>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</si>
  <si>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</si>
  <si>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</si>
  <si>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</si>
  <si>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</si>
  <si>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</si>
  <si>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</si>
  <si>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</si>
  <si>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</si>
  <si>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</si>
  <si>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</si>
  <si>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</si>
  <si>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</si>
  <si>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</si>
  <si>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</si>
  <si>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</si>
  <si>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</si>
  <si>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</si>
  <si>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</si>
  <si>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</si>
  <si>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</si>
  <si>
    <t>Staff shortages and implementation of changes related to AOSC 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</si>
</sst>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 wrapText="1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opLeftCell="A145" zoomScaleNormal="100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3" t="s">
        <v>317</v>
      </c>
      <c r="B1" s="373"/>
      <c r="C1" s="373"/>
      <c r="D1" s="373"/>
      <c r="E1" s="373"/>
    </row>
    <row r="2" spans="1:18" ht="24" customHeight="1" x14ac:dyDescent="0.2">
      <c r="A2" s="373" t="s">
        <v>429</v>
      </c>
      <c r="B2" s="373"/>
      <c r="C2" s="373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74" t="s">
        <v>10</v>
      </c>
      <c r="E4" s="374"/>
      <c r="F4" s="8"/>
      <c r="G4" s="276" t="s">
        <v>235</v>
      </c>
      <c r="H4" s="374" t="s">
        <v>4</v>
      </c>
      <c r="I4" s="374"/>
      <c r="K4" s="276" t="s">
        <v>3</v>
      </c>
      <c r="L4" s="275">
        <v>3</v>
      </c>
      <c r="N4" s="1"/>
      <c r="O4" s="1"/>
      <c r="Q4" s="345" t="s">
        <v>430</v>
      </c>
      <c r="R4" s="345"/>
    </row>
    <row r="5" spans="1:18" ht="24" customHeight="1" x14ac:dyDescent="0.3">
      <c r="A5" s="7"/>
      <c r="C5" s="276" t="s">
        <v>73</v>
      </c>
      <c r="D5" s="375" t="s">
        <v>432</v>
      </c>
      <c r="E5" s="375"/>
      <c r="F5" s="8"/>
      <c r="N5" s="9"/>
      <c r="Q5" s="345"/>
      <c r="R5" s="345"/>
    </row>
    <row r="6" spans="1:18" ht="24" customHeight="1" x14ac:dyDescent="0.3">
      <c r="A6" s="7"/>
      <c r="C6" s="276" t="s">
        <v>84</v>
      </c>
      <c r="D6" s="374" t="s">
        <v>433</v>
      </c>
      <c r="E6" s="374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8" t="s">
        <v>424</v>
      </c>
      <c r="C11" s="359"/>
      <c r="D11" s="360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>
        <v>0</v>
      </c>
      <c r="L11" s="294">
        <v>4</v>
      </c>
      <c r="M11" s="294">
        <v>4</v>
      </c>
      <c r="N11" s="294"/>
      <c r="O11" s="294"/>
      <c r="P11" s="295"/>
      <c r="Q11" s="156">
        <f>SUM(E11:P11)</f>
        <v>23</v>
      </c>
      <c r="R11" s="342"/>
    </row>
    <row r="12" spans="1:18" ht="20.100000000000001" customHeight="1" x14ac:dyDescent="0.2">
      <c r="B12" s="347" t="s">
        <v>425</v>
      </c>
      <c r="C12" s="348"/>
      <c r="D12" s="349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>
        <v>0</v>
      </c>
      <c r="L12" s="297">
        <v>3</v>
      </c>
      <c r="M12" s="297">
        <v>1</v>
      </c>
      <c r="N12" s="297"/>
      <c r="O12" s="297"/>
      <c r="P12" s="298"/>
      <c r="Q12" s="156">
        <f t="shared" ref="Q12:Q18" si="1">SUM(E12:P12)</f>
        <v>20</v>
      </c>
      <c r="R12" s="343"/>
    </row>
    <row r="13" spans="1:18" ht="20.100000000000001" customHeight="1" x14ac:dyDescent="0.2">
      <c r="B13" s="347" t="s">
        <v>426</v>
      </c>
      <c r="C13" s="348"/>
      <c r="D13" s="349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>
        <v>10</v>
      </c>
      <c r="L13" s="300">
        <v>6</v>
      </c>
      <c r="M13" s="300">
        <v>10</v>
      </c>
      <c r="N13" s="300"/>
      <c r="O13" s="300"/>
      <c r="P13" s="301"/>
      <c r="Q13" s="163">
        <f t="shared" si="1"/>
        <v>97</v>
      </c>
      <c r="R13" s="343"/>
    </row>
    <row r="14" spans="1:18" ht="20.100000000000001" customHeight="1" x14ac:dyDescent="0.2">
      <c r="B14" s="347" t="s">
        <v>157</v>
      </c>
      <c r="C14" s="348"/>
      <c r="D14" s="349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>
        <v>561</v>
      </c>
      <c r="L14" s="158">
        <v>528</v>
      </c>
      <c r="M14" s="158">
        <v>644</v>
      </c>
      <c r="N14" s="158"/>
      <c r="O14" s="158"/>
      <c r="P14" s="287"/>
      <c r="Q14" s="163">
        <f t="shared" si="1"/>
        <v>4923</v>
      </c>
      <c r="R14" s="343"/>
    </row>
    <row r="15" spans="1:18" ht="20.100000000000001" customHeight="1" x14ac:dyDescent="0.2">
      <c r="B15" s="347" t="s">
        <v>158</v>
      </c>
      <c r="C15" s="348"/>
      <c r="D15" s="349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/>
      <c r="O15" s="161"/>
      <c r="P15" s="286"/>
      <c r="Q15" s="163">
        <f t="shared" si="1"/>
        <v>4</v>
      </c>
      <c r="R15" s="343"/>
    </row>
    <row r="16" spans="1:18" ht="20.100000000000001" customHeight="1" x14ac:dyDescent="0.2">
      <c r="B16" s="347" t="s">
        <v>159</v>
      </c>
      <c r="C16" s="348"/>
      <c r="D16" s="349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>
        <v>15</v>
      </c>
      <c r="L16" s="158">
        <v>13</v>
      </c>
      <c r="M16" s="158">
        <v>24</v>
      </c>
      <c r="N16" s="158"/>
      <c r="O16" s="158"/>
      <c r="P16" s="287"/>
      <c r="Q16" s="163">
        <f t="shared" si="1"/>
        <v>151</v>
      </c>
      <c r="R16" s="343"/>
    </row>
    <row r="17" spans="1:18" ht="20.100000000000001" customHeight="1" x14ac:dyDescent="0.2">
      <c r="B17" s="364" t="s">
        <v>427</v>
      </c>
      <c r="C17" s="365"/>
      <c r="D17" s="366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>
        <v>24</v>
      </c>
      <c r="L17" s="280">
        <v>13</v>
      </c>
      <c r="M17" s="280">
        <v>11</v>
      </c>
      <c r="N17" s="280"/>
      <c r="O17" s="280"/>
      <c r="P17" s="288"/>
      <c r="Q17" s="164">
        <f t="shared" si="1"/>
        <v>149</v>
      </c>
      <c r="R17" s="343"/>
    </row>
    <row r="18" spans="1:18" ht="20.100000000000001" customHeight="1" thickBot="1" x14ac:dyDescent="0.25">
      <c r="B18" s="352" t="s">
        <v>160</v>
      </c>
      <c r="C18" s="353"/>
      <c r="D18" s="354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/>
      <c r="O18" s="166"/>
      <c r="P18" s="167"/>
      <c r="Q18" s="168">
        <f t="shared" si="1"/>
        <v>0</v>
      </c>
      <c r="R18" s="344"/>
    </row>
    <row r="19" spans="1:18" s="17" customFormat="1" ht="20.100000000000001" customHeight="1" thickTop="1" thickBot="1" x14ac:dyDescent="0.25">
      <c r="B19" s="355" t="s">
        <v>161</v>
      </c>
      <c r="C19" s="356"/>
      <c r="D19" s="357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610</v>
      </c>
      <c r="L19" s="170">
        <f t="shared" si="2"/>
        <v>567</v>
      </c>
      <c r="M19" s="170">
        <f t="shared" si="2"/>
        <v>694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5367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8" t="s">
        <v>162</v>
      </c>
      <c r="C22" s="359"/>
      <c r="D22" s="360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>
        <v>422</v>
      </c>
      <c r="L22" s="174">
        <v>504</v>
      </c>
      <c r="M22" s="174">
        <v>433</v>
      </c>
      <c r="N22" s="174"/>
      <c r="O22" s="174"/>
      <c r="P22" s="175"/>
      <c r="Q22" s="176">
        <f t="shared" ref="Q22:Q28" si="4">SUM(E22:P22)</f>
        <v>3956</v>
      </c>
      <c r="R22" s="346"/>
    </row>
    <row r="23" spans="1:18" ht="20.100000000000001" customHeight="1" x14ac:dyDescent="0.2">
      <c r="B23" s="347" t="s">
        <v>163</v>
      </c>
      <c r="C23" s="348"/>
      <c r="D23" s="349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>
        <v>8</v>
      </c>
      <c r="L23" s="178">
        <v>14</v>
      </c>
      <c r="M23" s="178">
        <v>11</v>
      </c>
      <c r="N23" s="178"/>
      <c r="O23" s="178"/>
      <c r="P23" s="179"/>
      <c r="Q23" s="192">
        <f t="shared" si="4"/>
        <v>97</v>
      </c>
      <c r="R23" s="343"/>
    </row>
    <row r="24" spans="1:18" ht="20.100000000000001" customHeight="1" x14ac:dyDescent="0.2">
      <c r="B24" s="347" t="s">
        <v>164</v>
      </c>
      <c r="C24" s="348"/>
      <c r="D24" s="349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>
        <v>189</v>
      </c>
      <c r="L24" s="182">
        <v>207</v>
      </c>
      <c r="M24" s="182">
        <v>244</v>
      </c>
      <c r="N24" s="182"/>
      <c r="O24" s="182"/>
      <c r="P24" s="183"/>
      <c r="Q24" s="193">
        <f t="shared" si="4"/>
        <v>1650</v>
      </c>
      <c r="R24" s="343"/>
    </row>
    <row r="25" spans="1:18" ht="20.100000000000001" customHeight="1" x14ac:dyDescent="0.2">
      <c r="B25" s="347" t="s">
        <v>159</v>
      </c>
      <c r="C25" s="348"/>
      <c r="D25" s="349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/>
      <c r="O25" s="178"/>
      <c r="P25" s="179"/>
      <c r="Q25" s="193">
        <f t="shared" si="4"/>
        <v>0</v>
      </c>
      <c r="R25" s="343"/>
    </row>
    <row r="26" spans="1:18" ht="20.100000000000001" customHeight="1" x14ac:dyDescent="0.2">
      <c r="B26" s="364" t="s">
        <v>427</v>
      </c>
      <c r="C26" s="365"/>
      <c r="D26" s="366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/>
      <c r="O26" s="280"/>
      <c r="P26" s="282"/>
      <c r="Q26" s="193">
        <f t="shared" si="4"/>
        <v>0</v>
      </c>
      <c r="R26" s="343"/>
    </row>
    <row r="27" spans="1:18" ht="20.100000000000001" customHeight="1" thickBot="1" x14ac:dyDescent="0.25">
      <c r="B27" s="352" t="s">
        <v>160</v>
      </c>
      <c r="C27" s="353"/>
      <c r="D27" s="354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/>
      <c r="O27" s="284"/>
      <c r="P27" s="285"/>
      <c r="Q27" s="184">
        <f t="shared" si="4"/>
        <v>0</v>
      </c>
      <c r="R27" s="343"/>
    </row>
    <row r="28" spans="1:18" s="17" customFormat="1" ht="20.100000000000001" customHeight="1" thickTop="1" thickBot="1" x14ac:dyDescent="0.25">
      <c r="B28" s="355" t="s">
        <v>165</v>
      </c>
      <c r="C28" s="356"/>
      <c r="D28" s="357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619</v>
      </c>
      <c r="L28" s="309">
        <f t="shared" si="5"/>
        <v>725</v>
      </c>
      <c r="M28" s="309">
        <f t="shared" si="5"/>
        <v>688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5703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8" t="s">
        <v>166</v>
      </c>
      <c r="C31" s="359"/>
      <c r="D31" s="360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>
        <v>73</v>
      </c>
      <c r="L31" s="174">
        <v>53</v>
      </c>
      <c r="M31" s="174">
        <v>52</v>
      </c>
      <c r="N31" s="174"/>
      <c r="O31" s="174"/>
      <c r="P31" s="175"/>
      <c r="Q31" s="176">
        <f t="shared" ref="Q31:Q35" si="7">SUM(E31:P31)</f>
        <v>582</v>
      </c>
      <c r="R31" s="342"/>
    </row>
    <row r="32" spans="1:18" ht="20.100000000000001" customHeight="1" x14ac:dyDescent="0.2">
      <c r="B32" s="347" t="s">
        <v>167</v>
      </c>
      <c r="C32" s="348"/>
      <c r="D32" s="349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>
        <v>0</v>
      </c>
      <c r="L32" s="178">
        <v>2</v>
      </c>
      <c r="M32" s="178">
        <v>1</v>
      </c>
      <c r="N32" s="178"/>
      <c r="O32" s="178"/>
      <c r="P32" s="179"/>
      <c r="Q32" s="180">
        <f t="shared" si="7"/>
        <v>6</v>
      </c>
      <c r="R32" s="343"/>
    </row>
    <row r="33" spans="1:18" ht="20.100000000000001" customHeight="1" x14ac:dyDescent="0.2">
      <c r="B33" s="347" t="s">
        <v>168</v>
      </c>
      <c r="C33" s="348"/>
      <c r="D33" s="349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>
        <v>17</v>
      </c>
      <c r="L33" s="182">
        <v>1</v>
      </c>
      <c r="M33" s="182">
        <v>2</v>
      </c>
      <c r="N33" s="182"/>
      <c r="O33" s="182"/>
      <c r="P33" s="183"/>
      <c r="Q33" s="184">
        <f t="shared" si="7"/>
        <v>33</v>
      </c>
      <c r="R33" s="343"/>
    </row>
    <row r="34" spans="1:18" ht="20.100000000000001" customHeight="1" thickBot="1" x14ac:dyDescent="0.25">
      <c r="B34" s="352" t="s">
        <v>160</v>
      </c>
      <c r="C34" s="353"/>
      <c r="D34" s="354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/>
      <c r="O34" s="186"/>
      <c r="P34" s="187"/>
      <c r="Q34" s="184">
        <f t="shared" si="7"/>
        <v>2</v>
      </c>
      <c r="R34" s="344"/>
    </row>
    <row r="35" spans="1:18" s="17" customFormat="1" ht="20.100000000000001" customHeight="1" thickTop="1" thickBot="1" x14ac:dyDescent="0.25">
      <c r="B35" s="355" t="s">
        <v>169</v>
      </c>
      <c r="C35" s="356"/>
      <c r="D35" s="357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90</v>
      </c>
      <c r="L35" s="189">
        <f t="shared" si="8"/>
        <v>56</v>
      </c>
      <c r="M35" s="189">
        <f t="shared" si="8"/>
        <v>55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623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8" t="s">
        <v>171</v>
      </c>
      <c r="C38" s="359"/>
      <c r="D38" s="360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>
        <v>241</v>
      </c>
      <c r="L38" s="154">
        <v>212</v>
      </c>
      <c r="M38" s="154">
        <v>240</v>
      </c>
      <c r="N38" s="154"/>
      <c r="O38" s="154"/>
      <c r="P38" s="155"/>
      <c r="Q38" s="194">
        <f t="shared" ref="Q38:Q41" si="10">SUM(E38:P38)</f>
        <v>2053</v>
      </c>
      <c r="R38" s="342"/>
    </row>
    <row r="39" spans="1:18" ht="20.100000000000001" customHeight="1" x14ac:dyDescent="0.2">
      <c r="B39" s="347" t="s">
        <v>172</v>
      </c>
      <c r="C39" s="348"/>
      <c r="D39" s="349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>
        <v>642</v>
      </c>
      <c r="L39" s="158">
        <v>602</v>
      </c>
      <c r="M39" s="158">
        <v>659</v>
      </c>
      <c r="N39" s="158"/>
      <c r="O39" s="158"/>
      <c r="P39" s="159"/>
      <c r="Q39" s="195">
        <f t="shared" si="10"/>
        <v>5810</v>
      </c>
      <c r="R39" s="343"/>
    </row>
    <row r="40" spans="1:18" ht="20.100000000000001" customHeight="1" thickBot="1" x14ac:dyDescent="0.25">
      <c r="B40" s="352" t="s">
        <v>160</v>
      </c>
      <c r="C40" s="353"/>
      <c r="D40" s="354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1</v>
      </c>
      <c r="M40" s="197">
        <v>0</v>
      </c>
      <c r="N40" s="197"/>
      <c r="O40" s="197"/>
      <c r="P40" s="198"/>
      <c r="Q40" s="199">
        <f t="shared" si="10"/>
        <v>1</v>
      </c>
      <c r="R40" s="344"/>
    </row>
    <row r="41" spans="1:18" s="17" customFormat="1" ht="20.100000000000001" customHeight="1" thickTop="1" thickBot="1" x14ac:dyDescent="0.25">
      <c r="B41" s="355" t="s">
        <v>173</v>
      </c>
      <c r="C41" s="356"/>
      <c r="D41" s="357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883</v>
      </c>
      <c r="L41" s="170">
        <f t="shared" si="11"/>
        <v>815</v>
      </c>
      <c r="M41" s="170">
        <f t="shared" si="11"/>
        <v>899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7864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8" t="s">
        <v>174</v>
      </c>
      <c r="C44" s="359"/>
      <c r="D44" s="360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>
        <v>3</v>
      </c>
      <c r="L44" s="154">
        <v>1</v>
      </c>
      <c r="M44" s="154">
        <v>2</v>
      </c>
      <c r="N44" s="154"/>
      <c r="O44" s="154"/>
      <c r="P44" s="155"/>
      <c r="Q44" s="194">
        <f t="shared" ref="Q44:Q66" si="13">SUM(E44:P44)</f>
        <v>24</v>
      </c>
      <c r="R44" s="342"/>
    </row>
    <row r="45" spans="1:18" ht="20.100000000000001" customHeight="1" x14ac:dyDescent="0.2">
      <c r="B45" s="347" t="s">
        <v>175</v>
      </c>
      <c r="C45" s="348"/>
      <c r="D45" s="349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1</v>
      </c>
      <c r="L45" s="158">
        <v>0</v>
      </c>
      <c r="M45" s="158">
        <v>1</v>
      </c>
      <c r="N45" s="158"/>
      <c r="O45" s="158"/>
      <c r="P45" s="159"/>
      <c r="Q45" s="195">
        <f t="shared" si="13"/>
        <v>4</v>
      </c>
      <c r="R45" s="343"/>
    </row>
    <row r="46" spans="1:18" ht="20.100000000000001" customHeight="1" x14ac:dyDescent="0.2">
      <c r="B46" s="347" t="s">
        <v>176</v>
      </c>
      <c r="C46" s="348"/>
      <c r="D46" s="349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>
        <v>79</v>
      </c>
      <c r="L46" s="161">
        <v>65</v>
      </c>
      <c r="M46" s="161">
        <v>45</v>
      </c>
      <c r="N46" s="161"/>
      <c r="O46" s="161"/>
      <c r="P46" s="162"/>
      <c r="Q46" s="195">
        <f t="shared" si="13"/>
        <v>639</v>
      </c>
      <c r="R46" s="343"/>
    </row>
    <row r="47" spans="1:18" ht="20.100000000000001" customHeight="1" x14ac:dyDescent="0.2">
      <c r="B47" s="347" t="s">
        <v>177</v>
      </c>
      <c r="C47" s="348"/>
      <c r="D47" s="349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>
        <v>1</v>
      </c>
      <c r="L47" s="158">
        <v>0</v>
      </c>
      <c r="M47" s="158">
        <v>3</v>
      </c>
      <c r="N47" s="158"/>
      <c r="O47" s="158"/>
      <c r="P47" s="159"/>
      <c r="Q47" s="195">
        <f t="shared" si="13"/>
        <v>10</v>
      </c>
      <c r="R47" s="343"/>
    </row>
    <row r="48" spans="1:18" ht="20.100000000000001" customHeight="1" x14ac:dyDescent="0.2">
      <c r="B48" s="347" t="s">
        <v>178</v>
      </c>
      <c r="C48" s="348"/>
      <c r="D48" s="349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>
        <v>66</v>
      </c>
      <c r="L48" s="161">
        <v>60</v>
      </c>
      <c r="M48" s="161">
        <v>171</v>
      </c>
      <c r="N48" s="161"/>
      <c r="O48" s="161"/>
      <c r="P48" s="162"/>
      <c r="Q48" s="195">
        <f t="shared" si="13"/>
        <v>933</v>
      </c>
      <c r="R48" s="343"/>
    </row>
    <row r="49" spans="2:18" ht="20.100000000000001" customHeight="1" x14ac:dyDescent="0.2">
      <c r="B49" s="347" t="s">
        <v>179</v>
      </c>
      <c r="C49" s="348"/>
      <c r="D49" s="349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>
        <v>0</v>
      </c>
      <c r="L49" s="158">
        <v>0</v>
      </c>
      <c r="M49" s="158">
        <v>0</v>
      </c>
      <c r="N49" s="158"/>
      <c r="O49" s="158"/>
      <c r="P49" s="159"/>
      <c r="Q49" s="195">
        <f t="shared" si="13"/>
        <v>3</v>
      </c>
      <c r="R49" s="343"/>
    </row>
    <row r="50" spans="2:18" ht="20.100000000000001" customHeight="1" x14ac:dyDescent="0.2">
      <c r="B50" s="347" t="s">
        <v>180</v>
      </c>
      <c r="C50" s="348"/>
      <c r="D50" s="349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>
        <v>26</v>
      </c>
      <c r="L50" s="161">
        <v>36</v>
      </c>
      <c r="M50" s="161">
        <v>40</v>
      </c>
      <c r="N50" s="161"/>
      <c r="O50" s="161"/>
      <c r="P50" s="162"/>
      <c r="Q50" s="195">
        <f t="shared" si="13"/>
        <v>349</v>
      </c>
      <c r="R50" s="343"/>
    </row>
    <row r="51" spans="2:18" ht="20.100000000000001" customHeight="1" x14ac:dyDescent="0.2">
      <c r="B51" s="347" t="s">
        <v>181</v>
      </c>
      <c r="C51" s="348"/>
      <c r="D51" s="349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>
        <v>1</v>
      </c>
      <c r="L51" s="158">
        <v>1</v>
      </c>
      <c r="M51" s="158">
        <v>3</v>
      </c>
      <c r="N51" s="158"/>
      <c r="O51" s="158"/>
      <c r="P51" s="159"/>
      <c r="Q51" s="195">
        <f t="shared" si="13"/>
        <v>12</v>
      </c>
      <c r="R51" s="343"/>
    </row>
    <row r="52" spans="2:18" ht="20.100000000000001" customHeight="1" x14ac:dyDescent="0.2">
      <c r="B52" s="347" t="s">
        <v>182</v>
      </c>
      <c r="C52" s="348"/>
      <c r="D52" s="349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>
        <v>21</v>
      </c>
      <c r="L52" s="161">
        <v>12</v>
      </c>
      <c r="M52" s="161">
        <v>14</v>
      </c>
      <c r="N52" s="161"/>
      <c r="O52" s="161"/>
      <c r="P52" s="162"/>
      <c r="Q52" s="195">
        <f t="shared" si="13"/>
        <v>125</v>
      </c>
      <c r="R52" s="343"/>
    </row>
    <row r="53" spans="2:18" ht="20.100000000000001" customHeight="1" x14ac:dyDescent="0.2">
      <c r="B53" s="347" t="s">
        <v>183</v>
      </c>
      <c r="C53" s="348"/>
      <c r="D53" s="349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>
        <v>8</v>
      </c>
      <c r="L53" s="158">
        <v>4</v>
      </c>
      <c r="M53" s="158">
        <v>9</v>
      </c>
      <c r="N53" s="158"/>
      <c r="O53" s="158"/>
      <c r="P53" s="159"/>
      <c r="Q53" s="195">
        <f t="shared" si="13"/>
        <v>76</v>
      </c>
      <c r="R53" s="343"/>
    </row>
    <row r="54" spans="2:18" ht="20.100000000000001" customHeight="1" x14ac:dyDescent="0.2">
      <c r="B54" s="347" t="s">
        <v>184</v>
      </c>
      <c r="C54" s="348"/>
      <c r="D54" s="349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>
        <v>32</v>
      </c>
      <c r="L54" s="161">
        <v>27</v>
      </c>
      <c r="M54" s="161">
        <v>22</v>
      </c>
      <c r="N54" s="161"/>
      <c r="O54" s="161"/>
      <c r="P54" s="162"/>
      <c r="Q54" s="201">
        <f t="shared" si="13"/>
        <v>237</v>
      </c>
      <c r="R54" s="343"/>
    </row>
    <row r="55" spans="2:18" ht="20.100000000000001" customHeight="1" x14ac:dyDescent="0.2">
      <c r="B55" s="347" t="s">
        <v>185</v>
      </c>
      <c r="C55" s="348"/>
      <c r="D55" s="349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>
        <v>112</v>
      </c>
      <c r="L55" s="158">
        <v>88</v>
      </c>
      <c r="M55" s="158">
        <v>86</v>
      </c>
      <c r="N55" s="158"/>
      <c r="O55" s="158"/>
      <c r="P55" s="159"/>
      <c r="Q55" s="201">
        <f t="shared" si="13"/>
        <v>673</v>
      </c>
      <c r="R55" s="343"/>
    </row>
    <row r="56" spans="2:18" ht="20.100000000000001" customHeight="1" x14ac:dyDescent="0.2">
      <c r="B56" s="347" t="s">
        <v>186</v>
      </c>
      <c r="C56" s="348"/>
      <c r="D56" s="349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/>
      <c r="O56" s="161"/>
      <c r="P56" s="162"/>
      <c r="Q56" s="201">
        <f t="shared" si="13"/>
        <v>0</v>
      </c>
      <c r="R56" s="343"/>
    </row>
    <row r="57" spans="2:18" ht="20.100000000000001" customHeight="1" x14ac:dyDescent="0.2">
      <c r="B57" s="347" t="s">
        <v>187</v>
      </c>
      <c r="C57" s="348"/>
      <c r="D57" s="349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>
        <v>0</v>
      </c>
      <c r="L57" s="158">
        <v>0</v>
      </c>
      <c r="M57" s="158">
        <v>0</v>
      </c>
      <c r="N57" s="158"/>
      <c r="O57" s="158"/>
      <c r="P57" s="159"/>
      <c r="Q57" s="201">
        <f t="shared" si="13"/>
        <v>7</v>
      </c>
      <c r="R57" s="343"/>
    </row>
    <row r="58" spans="2:18" ht="20.100000000000001" customHeight="1" x14ac:dyDescent="0.2">
      <c r="B58" s="347" t="s">
        <v>188</v>
      </c>
      <c r="C58" s="348"/>
      <c r="D58" s="349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/>
      <c r="O58" s="161"/>
      <c r="P58" s="162"/>
      <c r="Q58" s="201">
        <f t="shared" si="13"/>
        <v>0</v>
      </c>
      <c r="R58" s="343"/>
    </row>
    <row r="59" spans="2:18" ht="20.100000000000001" customHeight="1" x14ac:dyDescent="0.2">
      <c r="B59" s="347" t="s">
        <v>189</v>
      </c>
      <c r="C59" s="348"/>
      <c r="D59" s="349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>
        <v>8</v>
      </c>
      <c r="L59" s="158">
        <v>5</v>
      </c>
      <c r="M59" s="158">
        <v>1</v>
      </c>
      <c r="N59" s="158"/>
      <c r="O59" s="158"/>
      <c r="P59" s="159"/>
      <c r="Q59" s="201">
        <f t="shared" si="13"/>
        <v>50</v>
      </c>
      <c r="R59" s="343"/>
    </row>
    <row r="60" spans="2:18" ht="20.100000000000001" customHeight="1" x14ac:dyDescent="0.2">
      <c r="B60" s="347" t="s">
        <v>190</v>
      </c>
      <c r="C60" s="348"/>
      <c r="D60" s="349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>
        <v>1</v>
      </c>
      <c r="L60" s="161">
        <v>2</v>
      </c>
      <c r="M60" s="161">
        <v>8</v>
      </c>
      <c r="N60" s="161"/>
      <c r="O60" s="161"/>
      <c r="P60" s="162"/>
      <c r="Q60" s="201">
        <f t="shared" si="13"/>
        <v>18</v>
      </c>
      <c r="R60" s="343"/>
    </row>
    <row r="61" spans="2:18" ht="20.100000000000001" customHeight="1" x14ac:dyDescent="0.2">
      <c r="B61" s="347" t="s">
        <v>191</v>
      </c>
      <c r="C61" s="348"/>
      <c r="D61" s="349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/>
      <c r="O61" s="158"/>
      <c r="P61" s="159"/>
      <c r="Q61" s="201">
        <f t="shared" si="13"/>
        <v>0</v>
      </c>
      <c r="R61" s="343"/>
    </row>
    <row r="62" spans="2:18" ht="20.100000000000001" customHeight="1" x14ac:dyDescent="0.2">
      <c r="B62" s="347" t="s">
        <v>192</v>
      </c>
      <c r="C62" s="348"/>
      <c r="D62" s="349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/>
      <c r="O62" s="161"/>
      <c r="P62" s="162"/>
      <c r="Q62" s="202">
        <f t="shared" si="13"/>
        <v>0</v>
      </c>
      <c r="R62" s="343"/>
    </row>
    <row r="63" spans="2:18" ht="20.100000000000001" customHeight="1" x14ac:dyDescent="0.2">
      <c r="B63" s="347" t="s">
        <v>193</v>
      </c>
      <c r="C63" s="348"/>
      <c r="D63" s="349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>
        <v>3</v>
      </c>
      <c r="L63" s="158">
        <v>1</v>
      </c>
      <c r="M63" s="158">
        <v>4</v>
      </c>
      <c r="N63" s="158"/>
      <c r="O63" s="158"/>
      <c r="P63" s="159"/>
      <c r="Q63" s="202">
        <f t="shared" si="13"/>
        <v>25</v>
      </c>
      <c r="R63" s="343"/>
    </row>
    <row r="64" spans="2:18" ht="20.100000000000001" customHeight="1" x14ac:dyDescent="0.2">
      <c r="B64" s="347" t="s">
        <v>194</v>
      </c>
      <c r="C64" s="348"/>
      <c r="D64" s="349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>
        <v>2</v>
      </c>
      <c r="L64" s="161">
        <v>1</v>
      </c>
      <c r="M64" s="161">
        <v>1</v>
      </c>
      <c r="N64" s="161"/>
      <c r="O64" s="161"/>
      <c r="P64" s="162"/>
      <c r="Q64" s="203">
        <f t="shared" si="13"/>
        <v>18</v>
      </c>
      <c r="R64" s="343"/>
    </row>
    <row r="65" spans="1:18" ht="20.100000000000001" customHeight="1" thickBot="1" x14ac:dyDescent="0.25">
      <c r="B65" s="352" t="s">
        <v>160</v>
      </c>
      <c r="C65" s="353"/>
      <c r="D65" s="354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/>
      <c r="O65" s="166"/>
      <c r="P65" s="167"/>
      <c r="Q65" s="204">
        <f t="shared" si="13"/>
        <v>0</v>
      </c>
      <c r="R65" s="344"/>
    </row>
    <row r="66" spans="1:18" s="17" customFormat="1" ht="20.100000000000001" customHeight="1" thickTop="1" thickBot="1" x14ac:dyDescent="0.25">
      <c r="B66" s="355" t="str">
        <f>"Total "&amp;C43&amp;" ="</f>
        <v>Total Circuit Civil =</v>
      </c>
      <c r="C66" s="356"/>
      <c r="D66" s="357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364</v>
      </c>
      <c r="L66" s="170">
        <f t="shared" si="14"/>
        <v>303</v>
      </c>
      <c r="M66" s="170">
        <f t="shared" si="14"/>
        <v>410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3203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8" t="s">
        <v>195</v>
      </c>
      <c r="C69" s="359"/>
      <c r="D69" s="360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>
        <v>404</v>
      </c>
      <c r="L69" s="207">
        <v>707</v>
      </c>
      <c r="M69" s="207">
        <v>580</v>
      </c>
      <c r="N69" s="207"/>
      <c r="O69" s="207"/>
      <c r="P69" s="208"/>
      <c r="Q69" s="194">
        <f>SUM(E69:P69)</f>
        <v>4765</v>
      </c>
      <c r="R69" s="342"/>
    </row>
    <row r="70" spans="1:18" ht="20.100000000000001" customHeight="1" x14ac:dyDescent="0.2">
      <c r="B70" s="347" t="s">
        <v>418</v>
      </c>
      <c r="C70" s="348"/>
      <c r="D70" s="349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106</v>
      </c>
      <c r="M70" s="210">
        <v>138</v>
      </c>
      <c r="N70" s="210"/>
      <c r="O70" s="210"/>
      <c r="P70" s="211"/>
      <c r="Q70" s="195">
        <f t="shared" ref="Q70:Q80" si="16">SUM(E70:P70)</f>
        <v>244</v>
      </c>
      <c r="R70" s="343"/>
    </row>
    <row r="71" spans="1:18" ht="20.100000000000001" hidden="1" customHeight="1" x14ac:dyDescent="0.2">
      <c r="B71" s="347" t="s">
        <v>196</v>
      </c>
      <c r="C71" s="348"/>
      <c r="D71" s="349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43"/>
    </row>
    <row r="72" spans="1:18" ht="20.100000000000001" customHeight="1" x14ac:dyDescent="0.2">
      <c r="B72" s="347" t="s">
        <v>417</v>
      </c>
      <c r="C72" s="348"/>
      <c r="D72" s="349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>
        <v>98</v>
      </c>
      <c r="L72" s="213">
        <v>114</v>
      </c>
      <c r="M72" s="213">
        <v>101</v>
      </c>
      <c r="N72" s="213"/>
      <c r="O72" s="213"/>
      <c r="P72" s="214"/>
      <c r="Q72" s="195">
        <f t="shared" si="16"/>
        <v>1007</v>
      </c>
      <c r="R72" s="343"/>
    </row>
    <row r="73" spans="1:18" ht="20.100000000000001" customHeight="1" x14ac:dyDescent="0.2">
      <c r="B73" s="347" t="s">
        <v>406</v>
      </c>
      <c r="C73" s="348"/>
      <c r="D73" s="349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>
        <v>77</v>
      </c>
      <c r="L73" s="210">
        <v>86</v>
      </c>
      <c r="M73" s="210">
        <v>121</v>
      </c>
      <c r="N73" s="210"/>
      <c r="O73" s="210"/>
      <c r="P73" s="211"/>
      <c r="Q73" s="195">
        <f t="shared" si="16"/>
        <v>757</v>
      </c>
      <c r="R73" s="343"/>
    </row>
    <row r="74" spans="1:18" ht="20.100000000000001" customHeight="1" x14ac:dyDescent="0.2">
      <c r="B74" s="347" t="s">
        <v>197</v>
      </c>
      <c r="C74" s="348"/>
      <c r="D74" s="349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>
        <v>6</v>
      </c>
      <c r="L74" s="213">
        <v>4</v>
      </c>
      <c r="M74" s="213">
        <v>2</v>
      </c>
      <c r="N74" s="213"/>
      <c r="O74" s="213"/>
      <c r="P74" s="214"/>
      <c r="Q74" s="195">
        <f t="shared" si="16"/>
        <v>39</v>
      </c>
      <c r="R74" s="343"/>
    </row>
    <row r="75" spans="1:18" ht="20.100000000000001" customHeight="1" x14ac:dyDescent="0.2">
      <c r="B75" s="347" t="s">
        <v>198</v>
      </c>
      <c r="C75" s="348"/>
      <c r="D75" s="349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>
        <v>0</v>
      </c>
      <c r="L75" s="210">
        <v>113</v>
      </c>
      <c r="M75" s="210">
        <v>182</v>
      </c>
      <c r="N75" s="210"/>
      <c r="O75" s="210"/>
      <c r="P75" s="211"/>
      <c r="Q75" s="195">
        <f t="shared" si="16"/>
        <v>504</v>
      </c>
      <c r="R75" s="343"/>
    </row>
    <row r="76" spans="1:18" ht="20.100000000000001" customHeight="1" x14ac:dyDescent="0.2">
      <c r="B76" s="347" t="s">
        <v>199</v>
      </c>
      <c r="C76" s="348"/>
      <c r="D76" s="349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>
        <v>2</v>
      </c>
      <c r="L76" s="213">
        <v>2</v>
      </c>
      <c r="M76" s="213">
        <v>5</v>
      </c>
      <c r="N76" s="213"/>
      <c r="O76" s="213"/>
      <c r="P76" s="214"/>
      <c r="Q76" s="195">
        <f t="shared" si="16"/>
        <v>33</v>
      </c>
      <c r="R76" s="343"/>
    </row>
    <row r="77" spans="1:18" ht="20.100000000000001" customHeight="1" x14ac:dyDescent="0.2">
      <c r="B77" s="347" t="s">
        <v>200</v>
      </c>
      <c r="C77" s="348"/>
      <c r="D77" s="349"/>
      <c r="E77" s="209">
        <v>0</v>
      </c>
      <c r="F77" s="210">
        <v>0</v>
      </c>
      <c r="G77" s="210">
        <v>2</v>
      </c>
      <c r="H77" s="210">
        <v>1</v>
      </c>
      <c r="I77" s="210">
        <v>0</v>
      </c>
      <c r="J77" s="210">
        <v>1</v>
      </c>
      <c r="K77" s="210">
        <v>1</v>
      </c>
      <c r="L77" s="210">
        <v>0</v>
      </c>
      <c r="M77" s="210">
        <v>2</v>
      </c>
      <c r="N77" s="210"/>
      <c r="O77" s="210"/>
      <c r="P77" s="211"/>
      <c r="Q77" s="199">
        <f t="shared" si="16"/>
        <v>7</v>
      </c>
      <c r="R77" s="343"/>
    </row>
    <row r="78" spans="1:18" ht="20.100000000000001" customHeight="1" x14ac:dyDescent="0.2">
      <c r="B78" s="347" t="s">
        <v>194</v>
      </c>
      <c r="C78" s="348"/>
      <c r="D78" s="349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>
        <v>2</v>
      </c>
      <c r="L78" s="213">
        <v>2</v>
      </c>
      <c r="M78" s="213">
        <v>5</v>
      </c>
      <c r="N78" s="213"/>
      <c r="O78" s="213"/>
      <c r="P78" s="214"/>
      <c r="Q78" s="215">
        <f t="shared" si="16"/>
        <v>21</v>
      </c>
      <c r="R78" s="343"/>
    </row>
    <row r="79" spans="1:18" ht="20.100000000000001" customHeight="1" x14ac:dyDescent="0.2">
      <c r="B79" s="347" t="s">
        <v>201</v>
      </c>
      <c r="C79" s="348"/>
      <c r="D79" s="349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0</v>
      </c>
      <c r="N79" s="210"/>
      <c r="O79" s="210"/>
      <c r="P79" s="211"/>
      <c r="Q79" s="216">
        <f t="shared" si="16"/>
        <v>0</v>
      </c>
      <c r="R79" s="343"/>
    </row>
    <row r="80" spans="1:18" ht="20.100000000000001" customHeight="1" thickBot="1" x14ac:dyDescent="0.25">
      <c r="B80" s="352" t="s">
        <v>160</v>
      </c>
      <c r="C80" s="353"/>
      <c r="D80" s="354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/>
      <c r="O80" s="306"/>
      <c r="P80" s="307"/>
      <c r="Q80" s="217">
        <f t="shared" si="16"/>
        <v>0</v>
      </c>
      <c r="R80" s="344"/>
    </row>
    <row r="81" spans="1:18" s="17" customFormat="1" ht="20.100000000000001" customHeight="1" thickTop="1" thickBot="1" x14ac:dyDescent="0.25">
      <c r="B81" s="355" t="str">
        <f>"Total "&amp;C68&amp;" ="</f>
        <v>Total County Civil =</v>
      </c>
      <c r="C81" s="356"/>
      <c r="D81" s="357"/>
      <c r="E81" s="218">
        <f>SUM(E69:E80)</f>
        <v>751</v>
      </c>
      <c r="F81" s="170">
        <f t="shared" ref="F81:P81" si="17">SUM(F69:F80)</f>
        <v>745</v>
      </c>
      <c r="G81" s="170">
        <f t="shared" si="17"/>
        <v>703</v>
      </c>
      <c r="H81" s="170">
        <f t="shared" si="17"/>
        <v>678</v>
      </c>
      <c r="I81" s="170">
        <f t="shared" si="17"/>
        <v>920</v>
      </c>
      <c r="J81" s="170">
        <f t="shared" si="17"/>
        <v>720</v>
      </c>
      <c r="K81" s="170">
        <f t="shared" si="17"/>
        <v>590</v>
      </c>
      <c r="L81" s="170">
        <f t="shared" si="17"/>
        <v>1134</v>
      </c>
      <c r="M81" s="170">
        <f t="shared" si="17"/>
        <v>1136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7377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8" t="s">
        <v>202</v>
      </c>
      <c r="C84" s="359"/>
      <c r="D84" s="360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>
        <v>216</v>
      </c>
      <c r="L84" s="154">
        <v>209</v>
      </c>
      <c r="M84" s="154">
        <v>209</v>
      </c>
      <c r="N84" s="154"/>
      <c r="O84" s="154"/>
      <c r="P84" s="155"/>
      <c r="Q84" s="194">
        <f t="shared" ref="Q84:Q102" si="20">SUM(E84:P84)</f>
        <v>1897</v>
      </c>
      <c r="R84" s="342"/>
    </row>
    <row r="85" spans="1:18" ht="20.100000000000001" customHeight="1" x14ac:dyDescent="0.2">
      <c r="B85" s="347" t="s">
        <v>203</v>
      </c>
      <c r="C85" s="348"/>
      <c r="D85" s="349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>
        <v>22</v>
      </c>
      <c r="L85" s="158">
        <v>25</v>
      </c>
      <c r="M85" s="158">
        <v>34</v>
      </c>
      <c r="N85" s="158"/>
      <c r="O85" s="158"/>
      <c r="P85" s="159"/>
      <c r="Q85" s="195">
        <f t="shared" si="20"/>
        <v>213</v>
      </c>
      <c r="R85" s="343"/>
    </row>
    <row r="86" spans="1:18" ht="20.100000000000001" customHeight="1" x14ac:dyDescent="0.2">
      <c r="B86" s="347" t="s">
        <v>204</v>
      </c>
      <c r="C86" s="348"/>
      <c r="D86" s="349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>
        <v>1</v>
      </c>
      <c r="L86" s="161">
        <v>2</v>
      </c>
      <c r="M86" s="161">
        <v>4</v>
      </c>
      <c r="N86" s="161"/>
      <c r="O86" s="161"/>
      <c r="P86" s="162"/>
      <c r="Q86" s="195">
        <f t="shared" si="20"/>
        <v>22</v>
      </c>
      <c r="R86" s="343"/>
    </row>
    <row r="87" spans="1:18" ht="20.100000000000001" customHeight="1" x14ac:dyDescent="0.2">
      <c r="B87" s="347" t="s">
        <v>205</v>
      </c>
      <c r="C87" s="348"/>
      <c r="D87" s="349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>
        <v>63</v>
      </c>
      <c r="L87" s="158">
        <v>71</v>
      </c>
      <c r="M87" s="158">
        <v>96</v>
      </c>
      <c r="N87" s="158"/>
      <c r="O87" s="158"/>
      <c r="P87" s="159"/>
      <c r="Q87" s="195">
        <f t="shared" si="20"/>
        <v>625</v>
      </c>
      <c r="R87" s="343"/>
    </row>
    <row r="88" spans="1:18" ht="20.100000000000001" customHeight="1" x14ac:dyDescent="0.2">
      <c r="B88" s="347" t="s">
        <v>206</v>
      </c>
      <c r="C88" s="348"/>
      <c r="D88" s="349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>
        <v>22</v>
      </c>
      <c r="L88" s="161">
        <v>14</v>
      </c>
      <c r="M88" s="161">
        <v>22</v>
      </c>
      <c r="N88" s="161"/>
      <c r="O88" s="161"/>
      <c r="P88" s="162"/>
      <c r="Q88" s="195">
        <f t="shared" si="20"/>
        <v>143</v>
      </c>
      <c r="R88" s="343"/>
    </row>
    <row r="89" spans="1:18" ht="20.100000000000001" customHeight="1" x14ac:dyDescent="0.2">
      <c r="B89" s="347" t="s">
        <v>207</v>
      </c>
      <c r="C89" s="348"/>
      <c r="D89" s="349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>
        <v>10</v>
      </c>
      <c r="L89" s="158">
        <v>11</v>
      </c>
      <c r="M89" s="158">
        <v>14</v>
      </c>
      <c r="N89" s="158"/>
      <c r="O89" s="158"/>
      <c r="P89" s="159"/>
      <c r="Q89" s="195">
        <f t="shared" si="20"/>
        <v>96</v>
      </c>
      <c r="R89" s="343"/>
    </row>
    <row r="90" spans="1:18" ht="20.100000000000001" customHeight="1" x14ac:dyDescent="0.2">
      <c r="B90" s="347" t="s">
        <v>186</v>
      </c>
      <c r="C90" s="348"/>
      <c r="D90" s="349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>
        <v>0</v>
      </c>
      <c r="L90" s="161">
        <v>0</v>
      </c>
      <c r="M90" s="161">
        <v>0</v>
      </c>
      <c r="N90" s="161"/>
      <c r="O90" s="161"/>
      <c r="P90" s="162"/>
      <c r="Q90" s="195">
        <f t="shared" si="20"/>
        <v>1</v>
      </c>
      <c r="R90" s="343"/>
    </row>
    <row r="91" spans="1:18" ht="20.100000000000001" customHeight="1" x14ac:dyDescent="0.2">
      <c r="B91" s="347" t="s">
        <v>315</v>
      </c>
      <c r="C91" s="348"/>
      <c r="D91" s="349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>
        <v>2</v>
      </c>
      <c r="L91" s="158">
        <v>5</v>
      </c>
      <c r="M91" s="158">
        <v>6</v>
      </c>
      <c r="N91" s="158"/>
      <c r="O91" s="158"/>
      <c r="P91" s="159"/>
      <c r="Q91" s="195">
        <f t="shared" si="20"/>
        <v>31</v>
      </c>
      <c r="R91" s="343"/>
    </row>
    <row r="92" spans="1:18" ht="20.100000000000001" customHeight="1" x14ac:dyDescent="0.2">
      <c r="B92" s="347" t="s">
        <v>208</v>
      </c>
      <c r="C92" s="348"/>
      <c r="D92" s="349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>
        <v>148</v>
      </c>
      <c r="L92" s="161">
        <v>103</v>
      </c>
      <c r="M92" s="161">
        <v>148</v>
      </c>
      <c r="N92" s="161"/>
      <c r="O92" s="161"/>
      <c r="P92" s="162"/>
      <c r="Q92" s="195">
        <f t="shared" si="20"/>
        <v>1200</v>
      </c>
      <c r="R92" s="343"/>
    </row>
    <row r="93" spans="1:18" ht="20.100000000000001" customHeight="1" x14ac:dyDescent="0.2">
      <c r="B93" s="347" t="s">
        <v>209</v>
      </c>
      <c r="C93" s="348"/>
      <c r="D93" s="349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>
        <v>98</v>
      </c>
      <c r="L93" s="158">
        <v>104</v>
      </c>
      <c r="M93" s="158">
        <v>119</v>
      </c>
      <c r="N93" s="158"/>
      <c r="O93" s="158"/>
      <c r="P93" s="159"/>
      <c r="Q93" s="195">
        <f t="shared" si="20"/>
        <v>873</v>
      </c>
      <c r="R93" s="343"/>
    </row>
    <row r="94" spans="1:18" ht="20.100000000000001" customHeight="1" x14ac:dyDescent="0.2">
      <c r="B94" s="347" t="s">
        <v>210</v>
      </c>
      <c r="C94" s="348"/>
      <c r="D94" s="349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>
        <v>46</v>
      </c>
      <c r="L94" s="161">
        <v>41</v>
      </c>
      <c r="M94" s="161">
        <v>46</v>
      </c>
      <c r="N94" s="161"/>
      <c r="O94" s="161"/>
      <c r="P94" s="162"/>
      <c r="Q94" s="201">
        <f t="shared" si="20"/>
        <v>379</v>
      </c>
      <c r="R94" s="343"/>
    </row>
    <row r="95" spans="1:18" ht="20.100000000000001" customHeight="1" x14ac:dyDescent="0.2">
      <c r="B95" s="347" t="s">
        <v>211</v>
      </c>
      <c r="C95" s="348"/>
      <c r="D95" s="349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>
        <v>2</v>
      </c>
      <c r="L95" s="158">
        <v>1</v>
      </c>
      <c r="M95" s="158">
        <v>0</v>
      </c>
      <c r="N95" s="158"/>
      <c r="O95" s="158"/>
      <c r="P95" s="159"/>
      <c r="Q95" s="202">
        <f t="shared" si="20"/>
        <v>8</v>
      </c>
      <c r="R95" s="343"/>
    </row>
    <row r="96" spans="1:18" ht="20.100000000000001" customHeight="1" x14ac:dyDescent="0.2">
      <c r="B96" s="347" t="s">
        <v>212</v>
      </c>
      <c r="C96" s="348"/>
      <c r="D96" s="349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>
        <v>6</v>
      </c>
      <c r="L96" s="161">
        <v>2</v>
      </c>
      <c r="M96" s="161">
        <v>5</v>
      </c>
      <c r="N96" s="161"/>
      <c r="O96" s="161"/>
      <c r="P96" s="162"/>
      <c r="Q96" s="202">
        <f t="shared" si="20"/>
        <v>45</v>
      </c>
      <c r="R96" s="343"/>
    </row>
    <row r="97" spans="1:18" ht="20.100000000000001" customHeight="1" x14ac:dyDescent="0.2">
      <c r="B97" s="347" t="s">
        <v>213</v>
      </c>
      <c r="C97" s="348"/>
      <c r="D97" s="349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/>
      <c r="O97" s="158"/>
      <c r="P97" s="159"/>
      <c r="Q97" s="220">
        <f t="shared" si="20"/>
        <v>0</v>
      </c>
      <c r="R97" s="343"/>
    </row>
    <row r="98" spans="1:18" ht="20.100000000000001" customHeight="1" x14ac:dyDescent="0.2">
      <c r="B98" s="347" t="s">
        <v>214</v>
      </c>
      <c r="C98" s="348"/>
      <c r="D98" s="349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1">
        <v>0</v>
      </c>
      <c r="N98" s="161"/>
      <c r="O98" s="161"/>
      <c r="P98" s="162"/>
      <c r="Q98" s="221">
        <f t="shared" si="20"/>
        <v>0</v>
      </c>
      <c r="R98" s="343"/>
    </row>
    <row r="99" spans="1:18" ht="20.100000000000001" customHeight="1" x14ac:dyDescent="0.2">
      <c r="B99" s="347" t="s">
        <v>428</v>
      </c>
      <c r="C99" s="348"/>
      <c r="D99" s="349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>
        <v>0</v>
      </c>
      <c r="L99" s="290">
        <v>0</v>
      </c>
      <c r="M99" s="290">
        <v>0</v>
      </c>
      <c r="N99" s="290"/>
      <c r="O99" s="290"/>
      <c r="P99" s="291"/>
      <c r="Q99" s="204">
        <f t="shared" si="20"/>
        <v>2</v>
      </c>
      <c r="R99" s="343"/>
    </row>
    <row r="100" spans="1:18" ht="20.100000000000001" customHeight="1" x14ac:dyDescent="0.2">
      <c r="B100" s="347" t="s">
        <v>419</v>
      </c>
      <c r="C100" s="348"/>
      <c r="D100" s="349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1</v>
      </c>
      <c r="L100" s="161">
        <v>0</v>
      </c>
      <c r="M100" s="161">
        <v>0</v>
      </c>
      <c r="N100" s="161"/>
      <c r="O100" s="161"/>
      <c r="P100" s="162"/>
      <c r="Q100" s="204">
        <f t="shared" si="20"/>
        <v>1</v>
      </c>
      <c r="R100" s="343"/>
    </row>
    <row r="101" spans="1:18" ht="20.100000000000001" customHeight="1" thickBot="1" x14ac:dyDescent="0.25">
      <c r="B101" s="352" t="s">
        <v>160</v>
      </c>
      <c r="C101" s="353"/>
      <c r="D101" s="354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6">
        <v>0</v>
      </c>
      <c r="N101" s="166"/>
      <c r="O101" s="166"/>
      <c r="P101" s="167"/>
      <c r="Q101" s="204">
        <f t="shared" si="20"/>
        <v>0</v>
      </c>
      <c r="R101" s="344"/>
    </row>
    <row r="102" spans="1:18" s="17" customFormat="1" ht="20.100000000000001" customHeight="1" thickTop="1" thickBot="1" x14ac:dyDescent="0.25">
      <c r="B102" s="355" t="str">
        <f>"Total "&amp;C83&amp;" ="</f>
        <v>Total Probate =</v>
      </c>
      <c r="C102" s="356"/>
      <c r="D102" s="357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637</v>
      </c>
      <c r="L102" s="170">
        <f t="shared" si="21"/>
        <v>588</v>
      </c>
      <c r="M102" s="170">
        <f t="shared" si="21"/>
        <v>703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5536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8" t="s">
        <v>215</v>
      </c>
      <c r="C105" s="359"/>
      <c r="D105" s="360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>
        <v>23</v>
      </c>
      <c r="L105" s="154">
        <v>19</v>
      </c>
      <c r="M105" s="154">
        <v>17</v>
      </c>
      <c r="N105" s="154"/>
      <c r="O105" s="154"/>
      <c r="P105" s="155"/>
      <c r="Q105" s="194">
        <f t="shared" ref="Q105:Q116" si="23">SUM(E105:P105)</f>
        <v>173</v>
      </c>
      <c r="R105" s="342"/>
    </row>
    <row r="106" spans="1:18" s="11" customFormat="1" ht="20.100000000000001" customHeight="1" x14ac:dyDescent="0.2">
      <c r="A106" s="10"/>
      <c r="B106" s="347" t="s">
        <v>216</v>
      </c>
      <c r="C106" s="348"/>
      <c r="D106" s="349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>
        <v>178</v>
      </c>
      <c r="L106" s="158">
        <v>173</v>
      </c>
      <c r="M106" s="158">
        <v>173</v>
      </c>
      <c r="N106" s="158"/>
      <c r="O106" s="158"/>
      <c r="P106" s="159"/>
      <c r="Q106" s="195">
        <f t="shared" si="23"/>
        <v>1378</v>
      </c>
      <c r="R106" s="343"/>
    </row>
    <row r="107" spans="1:18" s="11" customFormat="1" ht="20.100000000000001" customHeight="1" x14ac:dyDescent="0.2">
      <c r="A107" s="10"/>
      <c r="B107" s="347" t="s">
        <v>217</v>
      </c>
      <c r="C107" s="348"/>
      <c r="D107" s="349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>
        <v>145</v>
      </c>
      <c r="L107" s="161">
        <v>164</v>
      </c>
      <c r="M107" s="161">
        <v>234</v>
      </c>
      <c r="N107" s="161"/>
      <c r="O107" s="161"/>
      <c r="P107" s="162"/>
      <c r="Q107" s="195">
        <f t="shared" si="23"/>
        <v>1602</v>
      </c>
      <c r="R107" s="343"/>
    </row>
    <row r="108" spans="1:18" s="11" customFormat="1" ht="20.100000000000001" customHeight="1" x14ac:dyDescent="0.2">
      <c r="A108" s="10"/>
      <c r="B108" s="347" t="s">
        <v>218</v>
      </c>
      <c r="C108" s="348"/>
      <c r="D108" s="349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>
        <v>13</v>
      </c>
      <c r="L108" s="158">
        <v>34</v>
      </c>
      <c r="M108" s="158">
        <v>22</v>
      </c>
      <c r="N108" s="158"/>
      <c r="O108" s="158"/>
      <c r="P108" s="159"/>
      <c r="Q108" s="195">
        <f t="shared" si="23"/>
        <v>179</v>
      </c>
      <c r="R108" s="343"/>
    </row>
    <row r="109" spans="1:18" s="11" customFormat="1" ht="20.100000000000001" customHeight="1" x14ac:dyDescent="0.2">
      <c r="A109" s="10"/>
      <c r="B109" s="347" t="s">
        <v>219</v>
      </c>
      <c r="C109" s="348"/>
      <c r="D109" s="349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3</v>
      </c>
      <c r="M109" s="161">
        <v>5</v>
      </c>
      <c r="N109" s="161"/>
      <c r="O109" s="161"/>
      <c r="P109" s="162"/>
      <c r="Q109" s="195">
        <f t="shared" si="23"/>
        <v>11</v>
      </c>
      <c r="R109" s="343"/>
    </row>
    <row r="110" spans="1:18" s="11" customFormat="1" ht="20.100000000000001" customHeight="1" x14ac:dyDescent="0.2">
      <c r="A110" s="10"/>
      <c r="B110" s="347" t="s">
        <v>220</v>
      </c>
      <c r="C110" s="348"/>
      <c r="D110" s="349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>
        <v>9</v>
      </c>
      <c r="L110" s="158">
        <v>14</v>
      </c>
      <c r="M110" s="158">
        <v>12</v>
      </c>
      <c r="N110" s="158"/>
      <c r="O110" s="158"/>
      <c r="P110" s="159"/>
      <c r="Q110" s="195">
        <f t="shared" si="23"/>
        <v>117</v>
      </c>
      <c r="R110" s="343"/>
    </row>
    <row r="111" spans="1:18" s="11" customFormat="1" ht="20.100000000000001" customHeight="1" x14ac:dyDescent="0.2">
      <c r="A111" s="10"/>
      <c r="B111" s="347" t="s">
        <v>221</v>
      </c>
      <c r="C111" s="348"/>
      <c r="D111" s="349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>
        <v>15</v>
      </c>
      <c r="L111" s="161">
        <v>18</v>
      </c>
      <c r="M111" s="161">
        <v>21</v>
      </c>
      <c r="N111" s="161"/>
      <c r="O111" s="161"/>
      <c r="P111" s="162"/>
      <c r="Q111" s="195">
        <f t="shared" si="23"/>
        <v>162</v>
      </c>
      <c r="R111" s="343"/>
    </row>
    <row r="112" spans="1:18" s="11" customFormat="1" ht="20.100000000000001" customHeight="1" x14ac:dyDescent="0.2">
      <c r="A112" s="10"/>
      <c r="B112" s="347" t="s">
        <v>222</v>
      </c>
      <c r="C112" s="348"/>
      <c r="D112" s="349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>
        <v>29</v>
      </c>
      <c r="L112" s="158">
        <v>28</v>
      </c>
      <c r="M112" s="158">
        <v>18</v>
      </c>
      <c r="N112" s="158"/>
      <c r="O112" s="158"/>
      <c r="P112" s="159"/>
      <c r="Q112" s="195">
        <f t="shared" si="23"/>
        <v>182</v>
      </c>
      <c r="R112" s="343"/>
    </row>
    <row r="113" spans="1:18" s="11" customFormat="1" ht="20.100000000000001" customHeight="1" x14ac:dyDescent="0.2">
      <c r="A113" s="10"/>
      <c r="B113" s="347" t="s">
        <v>223</v>
      </c>
      <c r="C113" s="348"/>
      <c r="D113" s="349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>
        <v>24</v>
      </c>
      <c r="L113" s="161">
        <v>31</v>
      </c>
      <c r="M113" s="161">
        <v>37</v>
      </c>
      <c r="N113" s="161"/>
      <c r="O113" s="161"/>
      <c r="P113" s="162"/>
      <c r="Q113" s="195">
        <f t="shared" si="23"/>
        <v>301</v>
      </c>
      <c r="R113" s="343"/>
    </row>
    <row r="114" spans="1:18" s="11" customFormat="1" ht="20.100000000000001" customHeight="1" x14ac:dyDescent="0.2">
      <c r="A114" s="10"/>
      <c r="B114" s="347" t="s">
        <v>224</v>
      </c>
      <c r="C114" s="348"/>
      <c r="D114" s="349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>
        <v>29</v>
      </c>
      <c r="L114" s="158">
        <v>49</v>
      </c>
      <c r="M114" s="158">
        <v>72</v>
      </c>
      <c r="N114" s="158"/>
      <c r="O114" s="158"/>
      <c r="P114" s="159"/>
      <c r="Q114" s="199">
        <f t="shared" si="23"/>
        <v>381</v>
      </c>
      <c r="R114" s="343"/>
    </row>
    <row r="115" spans="1:18" s="11" customFormat="1" ht="20.100000000000001" customHeight="1" thickBot="1" x14ac:dyDescent="0.25">
      <c r="A115" s="10"/>
      <c r="B115" s="352" t="s">
        <v>160</v>
      </c>
      <c r="C115" s="353"/>
      <c r="D115" s="354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>
        <v>0</v>
      </c>
      <c r="L115" s="197">
        <v>0</v>
      </c>
      <c r="M115" s="197">
        <v>0</v>
      </c>
      <c r="N115" s="197"/>
      <c r="O115" s="197"/>
      <c r="P115" s="198"/>
      <c r="Q115" s="202">
        <f t="shared" si="23"/>
        <v>0</v>
      </c>
      <c r="R115" s="344"/>
    </row>
    <row r="116" spans="1:18" s="11" customFormat="1" ht="20.100000000000001" customHeight="1" thickTop="1" thickBot="1" x14ac:dyDescent="0.25">
      <c r="A116" s="10"/>
      <c r="B116" s="355" t="str">
        <f>"Total "&amp;C104&amp;" ="</f>
        <v>Total Family =</v>
      </c>
      <c r="C116" s="356"/>
      <c r="D116" s="357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465</v>
      </c>
      <c r="L116" s="170">
        <f t="shared" si="24"/>
        <v>533</v>
      </c>
      <c r="M116" s="170">
        <f t="shared" si="24"/>
        <v>611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4486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8" t="s">
        <v>225</v>
      </c>
      <c r="C119" s="359"/>
      <c r="D119" s="360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>
        <v>30</v>
      </c>
      <c r="L119" s="154">
        <v>22</v>
      </c>
      <c r="M119" s="154">
        <v>39</v>
      </c>
      <c r="N119" s="154"/>
      <c r="O119" s="154"/>
      <c r="P119" s="155"/>
      <c r="Q119" s="194">
        <f t="shared" ref="Q119:Q128" si="26">SUM(E119:P119)</f>
        <v>273</v>
      </c>
      <c r="R119" s="346"/>
    </row>
    <row r="120" spans="1:18" ht="20.100000000000001" customHeight="1" x14ac:dyDescent="0.2">
      <c r="B120" s="347" t="s">
        <v>226</v>
      </c>
      <c r="C120" s="348"/>
      <c r="D120" s="349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1</v>
      </c>
      <c r="L120" s="158">
        <v>1</v>
      </c>
      <c r="M120" s="158">
        <v>0</v>
      </c>
      <c r="N120" s="158"/>
      <c r="O120" s="158"/>
      <c r="P120" s="159"/>
      <c r="Q120" s="195">
        <f t="shared" si="26"/>
        <v>2</v>
      </c>
      <c r="R120" s="343"/>
    </row>
    <row r="121" spans="1:18" ht="20.100000000000001" customHeight="1" x14ac:dyDescent="0.2">
      <c r="B121" s="347" t="s">
        <v>227</v>
      </c>
      <c r="C121" s="348"/>
      <c r="D121" s="349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>
        <v>0</v>
      </c>
      <c r="L121" s="161">
        <v>0</v>
      </c>
      <c r="M121" s="161">
        <v>0</v>
      </c>
      <c r="N121" s="161"/>
      <c r="O121" s="161"/>
      <c r="P121" s="162"/>
      <c r="Q121" s="195">
        <f t="shared" si="26"/>
        <v>2</v>
      </c>
      <c r="R121" s="343"/>
    </row>
    <row r="122" spans="1:18" ht="20.100000000000001" customHeight="1" x14ac:dyDescent="0.2">
      <c r="B122" s="347" t="s">
        <v>228</v>
      </c>
      <c r="C122" s="348"/>
      <c r="D122" s="349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>
        <v>1</v>
      </c>
      <c r="L122" s="158">
        <v>0</v>
      </c>
      <c r="M122" s="158">
        <v>0</v>
      </c>
      <c r="N122" s="158"/>
      <c r="O122" s="158"/>
      <c r="P122" s="159"/>
      <c r="Q122" s="195">
        <f t="shared" si="26"/>
        <v>3</v>
      </c>
      <c r="R122" s="343"/>
    </row>
    <row r="123" spans="1:18" ht="20.100000000000001" customHeight="1" x14ac:dyDescent="0.2">
      <c r="B123" s="347" t="s">
        <v>229</v>
      </c>
      <c r="C123" s="348"/>
      <c r="D123" s="349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/>
      <c r="O123" s="161"/>
      <c r="P123" s="162"/>
      <c r="Q123" s="195">
        <f t="shared" si="26"/>
        <v>0</v>
      </c>
      <c r="R123" s="343"/>
    </row>
    <row r="124" spans="1:18" ht="20.100000000000001" customHeight="1" x14ac:dyDescent="0.2">
      <c r="B124" s="347" t="s">
        <v>168</v>
      </c>
      <c r="C124" s="348"/>
      <c r="D124" s="349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/>
      <c r="O124" s="158"/>
      <c r="P124" s="159"/>
      <c r="Q124" s="195">
        <f t="shared" si="26"/>
        <v>0</v>
      </c>
      <c r="R124" s="343"/>
    </row>
    <row r="125" spans="1:18" ht="20.100000000000001" customHeight="1" x14ac:dyDescent="0.2">
      <c r="B125" s="347" t="s">
        <v>234</v>
      </c>
      <c r="C125" s="348"/>
      <c r="D125" s="349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>
        <v>0</v>
      </c>
      <c r="L125" s="161">
        <v>0</v>
      </c>
      <c r="M125" s="161">
        <v>0</v>
      </c>
      <c r="N125" s="161"/>
      <c r="O125" s="161"/>
      <c r="P125" s="162"/>
      <c r="Q125" s="215">
        <f t="shared" si="26"/>
        <v>1</v>
      </c>
      <c r="R125" s="343"/>
    </row>
    <row r="126" spans="1:18" ht="20.100000000000001" customHeight="1" x14ac:dyDescent="0.2">
      <c r="B126" s="347" t="s">
        <v>230</v>
      </c>
      <c r="C126" s="348"/>
      <c r="D126" s="349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8"/>
      <c r="O126" s="158"/>
      <c r="P126" s="159"/>
      <c r="Q126" s="217">
        <f t="shared" si="26"/>
        <v>0</v>
      </c>
      <c r="R126" s="343"/>
    </row>
    <row r="127" spans="1:18" ht="20.100000000000001" customHeight="1" thickBot="1" x14ac:dyDescent="0.25">
      <c r="B127" s="352" t="s">
        <v>160</v>
      </c>
      <c r="C127" s="353"/>
      <c r="D127" s="354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/>
      <c r="O127" s="197"/>
      <c r="P127" s="198"/>
      <c r="Q127" s="217">
        <f t="shared" si="26"/>
        <v>0</v>
      </c>
      <c r="R127" s="343"/>
    </row>
    <row r="128" spans="1:18" s="17" customFormat="1" ht="20.100000000000001" customHeight="1" thickTop="1" thickBot="1" x14ac:dyDescent="0.25">
      <c r="B128" s="355" t="str">
        <f>"Total "&amp;C118&amp;" ="</f>
        <v>Total Juvenile Dependency =</v>
      </c>
      <c r="C128" s="356"/>
      <c r="D128" s="357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32</v>
      </c>
      <c r="L128" s="170">
        <f t="shared" si="27"/>
        <v>23</v>
      </c>
      <c r="M128" s="170">
        <f t="shared" si="27"/>
        <v>39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281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70" t="s">
        <v>232</v>
      </c>
      <c r="C131" s="371"/>
      <c r="D131" s="372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>
        <v>3429</v>
      </c>
      <c r="L131" s="225">
        <v>3486</v>
      </c>
      <c r="M131" s="225">
        <v>3661</v>
      </c>
      <c r="N131" s="225"/>
      <c r="O131" s="225"/>
      <c r="P131" s="226"/>
      <c r="Q131" s="194">
        <f t="shared" ref="Q131:Q132" si="29">SUM(E131:P131)</f>
        <v>31669</v>
      </c>
      <c r="R131" s="342"/>
    </row>
    <row r="132" spans="1:18" ht="20.100000000000001" customHeight="1" thickTop="1" thickBot="1" x14ac:dyDescent="0.25">
      <c r="B132" s="367" t="str">
        <f>"Total "&amp;C130&amp;" ="</f>
        <v>Total Civil Traffic - UTCs =</v>
      </c>
      <c r="C132" s="368"/>
      <c r="D132" s="369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3429</v>
      </c>
      <c r="L132" s="170">
        <f t="shared" si="30"/>
        <v>3486</v>
      </c>
      <c r="M132" s="170">
        <f t="shared" si="30"/>
        <v>3661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31669</v>
      </c>
      <c r="R132" s="343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43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43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44"/>
    </row>
    <row r="136" spans="1:18" s="19" customFormat="1" ht="13.5" customHeight="1" x14ac:dyDescent="0.2">
      <c r="B136" s="351" t="s">
        <v>420</v>
      </c>
      <c r="C136" s="351"/>
      <c r="D136" s="351"/>
      <c r="E136" s="351"/>
      <c r="F136" s="351"/>
      <c r="G136" s="351"/>
      <c r="H136" s="351"/>
      <c r="I136" s="351"/>
      <c r="J136" s="351"/>
      <c r="K136" s="351"/>
      <c r="L136" s="351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51" t="s">
        <v>421</v>
      </c>
      <c r="C137" s="351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R137" s="279"/>
    </row>
    <row r="138" spans="1:18" x14ac:dyDescent="0.2">
      <c r="A138" s="21"/>
      <c r="B138" s="350" t="s">
        <v>422</v>
      </c>
      <c r="C138" s="350"/>
      <c r="D138" s="350"/>
      <c r="E138" s="350"/>
      <c r="F138" s="350"/>
      <c r="G138" s="350"/>
      <c r="H138" s="350"/>
      <c r="I138" s="350"/>
      <c r="J138" s="350"/>
      <c r="K138" s="350"/>
      <c r="L138" s="350"/>
      <c r="N138" s="274"/>
      <c r="O138" s="274"/>
      <c r="P138" s="274"/>
    </row>
    <row r="139" spans="1:18" x14ac:dyDescent="0.2">
      <c r="B139" s="350" t="s">
        <v>423</v>
      </c>
      <c r="C139" s="350"/>
      <c r="D139" s="350"/>
      <c r="E139" s="350"/>
      <c r="F139" s="350"/>
      <c r="G139" s="350"/>
      <c r="H139" s="350"/>
      <c r="I139" s="350"/>
      <c r="J139" s="350"/>
      <c r="K139" s="350"/>
      <c r="L139" s="350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zoomScaleSheetLayoutView="100" zoomScalePageLayoutView="75" workbookViewId="0">
      <selection activeCell="M28" sqref="M28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3" t="s">
        <v>320</v>
      </c>
      <c r="B1" s="373"/>
      <c r="C1" s="373"/>
      <c r="D1" s="373"/>
      <c r="E1" s="373"/>
      <c r="F1" s="373"/>
    </row>
    <row r="2" spans="1:17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82" t="str">
        <f>IF('Sub Cases Monthly'!D4="","",'Sub Cases Monthly'!D4)</f>
        <v>Brevard</v>
      </c>
      <c r="E4" s="382"/>
      <c r="F4" s="8"/>
      <c r="G4" s="128" t="s">
        <v>235</v>
      </c>
      <c r="H4" s="382" t="str">
        <f>IF('Sub Cases Monthly'!H4="","",'Sub Cases Monthly'!H4)</f>
        <v>June</v>
      </c>
      <c r="I4" s="382"/>
      <c r="K4" s="128" t="s">
        <v>3</v>
      </c>
      <c r="L4" s="127">
        <f>IF('Sub Cases Monthly'!L4="","",'Sub Cases Monthly'!L4)</f>
        <v>3</v>
      </c>
      <c r="N4" s="1"/>
      <c r="O4" s="345" t="str">
        <f>'Sub Cases Monthly'!Q4</f>
        <v>CCOC Form Version 1
Created 10/01/20</v>
      </c>
      <c r="P4" s="345"/>
      <c r="Q4" s="345"/>
    </row>
    <row r="5" spans="1:17" ht="21" customHeight="1" thickBot="1" x14ac:dyDescent="0.35">
      <c r="A5" s="7"/>
      <c r="C5" s="128" t="s">
        <v>73</v>
      </c>
      <c r="D5" s="383" t="str">
        <f>IF('Sub Cases Monthly'!D5="","",'Sub Cases Monthly'!D5)</f>
        <v>Andrea Butler</v>
      </c>
      <c r="E5" s="383"/>
      <c r="F5" s="8"/>
      <c r="N5" s="9"/>
      <c r="O5" s="381"/>
      <c r="P5" s="381"/>
      <c r="Q5" s="381"/>
    </row>
    <row r="6" spans="1:17" ht="26.25" customHeight="1" thickBot="1" x14ac:dyDescent="0.25">
      <c r="A6" s="7"/>
      <c r="C6" s="128" t="s">
        <v>84</v>
      </c>
      <c r="D6" s="382" t="str">
        <f>IF('Sub Cases Monthly'!D6="","",'Sub Cases Monthly'!D6)</f>
        <v>andrea.butler@brevardclerk.us</v>
      </c>
      <c r="E6" s="382"/>
      <c r="F6" s="8"/>
      <c r="K6"/>
      <c r="L6"/>
      <c r="M6"/>
      <c r="N6"/>
      <c r="O6" s="376" t="str">
        <f>"Total Number of Financial Receipts
for the CFY "&amp;RIGHT(A2,9)&amp;":"</f>
        <v>Total Number of Financial Receipts
for the CFY 2020-2021:</v>
      </c>
      <c r="P6" s="377"/>
      <c r="Q6" s="378"/>
    </row>
    <row r="7" spans="1:17" ht="27" customHeight="1" thickBot="1" x14ac:dyDescent="0.25">
      <c r="A7" s="7"/>
      <c r="J7" s="379" t="s">
        <v>242</v>
      </c>
      <c r="K7" s="379"/>
      <c r="L7" s="379"/>
      <c r="M7" s="379"/>
      <c r="N7" s="380"/>
      <c r="O7" s="384">
        <v>415278</v>
      </c>
      <c r="P7" s="385"/>
      <c r="Q7" s="386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8" t="s">
        <v>132</v>
      </c>
      <c r="C10" s="359"/>
      <c r="D10" s="359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610</v>
      </c>
      <c r="L10" s="228">
        <f>'Sub Cases Monthly'!L19</f>
        <v>567</v>
      </c>
      <c r="M10" s="228">
        <f>'Sub Cases Monthly'!M19</f>
        <v>694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5367</v>
      </c>
    </row>
    <row r="11" spans="1:17" ht="19.5" customHeight="1" x14ac:dyDescent="0.2">
      <c r="B11" s="347" t="s">
        <v>133</v>
      </c>
      <c r="C11" s="348"/>
      <c r="D11" s="348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619</v>
      </c>
      <c r="L11" s="232">
        <f>'Sub Cases Monthly'!L28</f>
        <v>725</v>
      </c>
      <c r="M11" s="232">
        <f>'Sub Cases Monthly'!M28</f>
        <v>688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5703</v>
      </c>
    </row>
    <row r="12" spans="1:17" ht="19.5" customHeight="1" x14ac:dyDescent="0.2">
      <c r="B12" s="347" t="s">
        <v>140</v>
      </c>
      <c r="C12" s="348"/>
      <c r="D12" s="348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90</v>
      </c>
      <c r="L12" s="232">
        <f>'Sub Cases Monthly'!L35</f>
        <v>56</v>
      </c>
      <c r="M12" s="232">
        <f>'Sub Cases Monthly'!M35</f>
        <v>55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623</v>
      </c>
    </row>
    <row r="13" spans="1:17" ht="19.5" customHeight="1" x14ac:dyDescent="0.2">
      <c r="B13" s="347" t="s">
        <v>137</v>
      </c>
      <c r="C13" s="348"/>
      <c r="D13" s="348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883</v>
      </c>
      <c r="L13" s="232">
        <f>'Sub Cases Monthly'!L41</f>
        <v>815</v>
      </c>
      <c r="M13" s="232">
        <f>'Sub Cases Monthly'!M41</f>
        <v>899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7864</v>
      </c>
    </row>
    <row r="14" spans="1:17" ht="19.5" customHeight="1" x14ac:dyDescent="0.2">
      <c r="B14" s="347" t="s">
        <v>134</v>
      </c>
      <c r="C14" s="348"/>
      <c r="D14" s="348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364</v>
      </c>
      <c r="L14" s="232">
        <f>'Sub Cases Monthly'!L66</f>
        <v>303</v>
      </c>
      <c r="M14" s="232">
        <f>'Sub Cases Monthly'!M66</f>
        <v>410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3203</v>
      </c>
    </row>
    <row r="15" spans="1:17" ht="19.5" customHeight="1" x14ac:dyDescent="0.2">
      <c r="B15" s="347" t="s">
        <v>135</v>
      </c>
      <c r="C15" s="348"/>
      <c r="D15" s="348"/>
      <c r="E15" s="231">
        <f>'Sub Cases Monthly'!E81</f>
        <v>751</v>
      </c>
      <c r="F15" s="232">
        <f>'Sub Cases Monthly'!F81</f>
        <v>745</v>
      </c>
      <c r="G15" s="232">
        <f>'Sub Cases Monthly'!G81</f>
        <v>703</v>
      </c>
      <c r="H15" s="232">
        <f>'Sub Cases Monthly'!H81</f>
        <v>678</v>
      </c>
      <c r="I15" s="232">
        <f>'Sub Cases Monthly'!I81</f>
        <v>920</v>
      </c>
      <c r="J15" s="232">
        <f>'Sub Cases Monthly'!J81</f>
        <v>720</v>
      </c>
      <c r="K15" s="232">
        <f>'Sub Cases Monthly'!K81</f>
        <v>590</v>
      </c>
      <c r="L15" s="232">
        <f>'Sub Cases Monthly'!L81</f>
        <v>1134</v>
      </c>
      <c r="M15" s="232">
        <f>'Sub Cases Monthly'!M81</f>
        <v>1136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7377</v>
      </c>
    </row>
    <row r="16" spans="1:17" ht="19.5" customHeight="1" x14ac:dyDescent="0.2">
      <c r="B16" s="347" t="s">
        <v>136</v>
      </c>
      <c r="C16" s="348"/>
      <c r="D16" s="348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637</v>
      </c>
      <c r="L16" s="232">
        <f>'Sub Cases Monthly'!L102</f>
        <v>588</v>
      </c>
      <c r="M16" s="232">
        <f>'Sub Cases Monthly'!M102</f>
        <v>703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5536</v>
      </c>
    </row>
    <row r="17" spans="1:17" ht="19.5" customHeight="1" x14ac:dyDescent="0.2">
      <c r="B17" s="347" t="s">
        <v>238</v>
      </c>
      <c r="C17" s="348"/>
      <c r="D17" s="348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465</v>
      </c>
      <c r="L17" s="232">
        <f>'Sub Cases Monthly'!L116</f>
        <v>533</v>
      </c>
      <c r="M17" s="232">
        <f>'Sub Cases Monthly'!M116</f>
        <v>611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4486</v>
      </c>
    </row>
    <row r="18" spans="1:17" ht="19.5" customHeight="1" x14ac:dyDescent="0.2">
      <c r="B18" s="347" t="s">
        <v>139</v>
      </c>
      <c r="C18" s="348"/>
      <c r="D18" s="348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32</v>
      </c>
      <c r="L18" s="232">
        <f>'Sub Cases Monthly'!L128</f>
        <v>23</v>
      </c>
      <c r="M18" s="232">
        <f>'Sub Cases Monthly'!M128</f>
        <v>39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281</v>
      </c>
    </row>
    <row r="19" spans="1:17" ht="19.5" customHeight="1" thickBot="1" x14ac:dyDescent="0.25">
      <c r="B19" s="352" t="s">
        <v>138</v>
      </c>
      <c r="C19" s="353"/>
      <c r="D19" s="353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3429</v>
      </c>
      <c r="L19" s="236">
        <f>'Sub Cases Monthly'!L132</f>
        <v>3486</v>
      </c>
      <c r="M19" s="236">
        <f>'Sub Cases Monthly'!M132</f>
        <v>3661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31669</v>
      </c>
    </row>
    <row r="20" spans="1:17" s="17" customFormat="1" ht="19.5" customHeight="1" thickTop="1" thickBot="1" x14ac:dyDescent="0.25">
      <c r="B20" s="355" t="s">
        <v>411</v>
      </c>
      <c r="C20" s="356"/>
      <c r="D20" s="357"/>
      <c r="E20" s="218">
        <f t="shared" ref="E20:P20" si="2">SUM(E10:E19)</f>
        <v>8807</v>
      </c>
      <c r="F20" s="170">
        <f t="shared" si="2"/>
        <v>6738</v>
      </c>
      <c r="G20" s="170">
        <f t="shared" si="2"/>
        <v>7841</v>
      </c>
      <c r="H20" s="170">
        <f t="shared" si="2"/>
        <v>7881</v>
      </c>
      <c r="I20" s="170">
        <f t="shared" si="2"/>
        <v>7541</v>
      </c>
      <c r="J20" s="170">
        <f t="shared" si="2"/>
        <v>8456</v>
      </c>
      <c r="K20" s="170">
        <f t="shared" si="2"/>
        <v>7719</v>
      </c>
      <c r="L20" s="170">
        <f t="shared" si="2"/>
        <v>8230</v>
      </c>
      <c r="M20" s="170">
        <f t="shared" si="2"/>
        <v>8896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72109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8" t="s">
        <v>132</v>
      </c>
      <c r="C23" s="359"/>
      <c r="D23" s="359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>
        <v>814</v>
      </c>
      <c r="L23" s="174">
        <v>808</v>
      </c>
      <c r="M23" s="174">
        <v>849</v>
      </c>
      <c r="N23" s="174"/>
      <c r="O23" s="174"/>
      <c r="P23" s="241"/>
      <c r="Q23" s="242">
        <f>SUM(E23:P23)</f>
        <v>7301</v>
      </c>
    </row>
    <row r="24" spans="1:17" ht="19.5" customHeight="1" x14ac:dyDescent="0.2">
      <c r="B24" s="347" t="s">
        <v>133</v>
      </c>
      <c r="C24" s="348"/>
      <c r="D24" s="348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>
        <v>90</v>
      </c>
      <c r="L24" s="178">
        <v>79</v>
      </c>
      <c r="M24" s="178">
        <v>91</v>
      </c>
      <c r="N24" s="178"/>
      <c r="O24" s="178"/>
      <c r="P24" s="243"/>
      <c r="Q24" s="244">
        <f t="shared" ref="Q24:Q33" si="5">SUM(E24:P24)</f>
        <v>801</v>
      </c>
    </row>
    <row r="25" spans="1:17" ht="19.5" customHeight="1" x14ac:dyDescent="0.2">
      <c r="B25" s="347" t="s">
        <v>140</v>
      </c>
      <c r="C25" s="348"/>
      <c r="D25" s="348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>
        <v>206</v>
      </c>
      <c r="L25" s="182">
        <v>158</v>
      </c>
      <c r="M25" s="182">
        <v>242</v>
      </c>
      <c r="N25" s="182"/>
      <c r="O25" s="182"/>
      <c r="P25" s="245"/>
      <c r="Q25" s="244">
        <f t="shared" si="5"/>
        <v>1608</v>
      </c>
    </row>
    <row r="26" spans="1:17" ht="19.5" customHeight="1" x14ac:dyDescent="0.2">
      <c r="B26" s="347" t="s">
        <v>137</v>
      </c>
      <c r="C26" s="348"/>
      <c r="D26" s="348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>
        <v>129</v>
      </c>
      <c r="L26" s="178">
        <v>143</v>
      </c>
      <c r="M26" s="178">
        <v>139</v>
      </c>
      <c r="N26" s="178"/>
      <c r="O26" s="178"/>
      <c r="P26" s="243"/>
      <c r="Q26" s="244">
        <f t="shared" si="5"/>
        <v>1306</v>
      </c>
    </row>
    <row r="27" spans="1:17" ht="19.5" customHeight="1" x14ac:dyDescent="0.2">
      <c r="B27" s="347" t="s">
        <v>134</v>
      </c>
      <c r="C27" s="348"/>
      <c r="D27" s="348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>
        <v>129</v>
      </c>
      <c r="L27" s="182">
        <v>105</v>
      </c>
      <c r="M27" s="182">
        <v>109</v>
      </c>
      <c r="N27" s="182"/>
      <c r="O27" s="182"/>
      <c r="P27" s="245"/>
      <c r="Q27" s="244">
        <f t="shared" si="5"/>
        <v>1014</v>
      </c>
    </row>
    <row r="28" spans="1:17" ht="19.5" customHeight="1" x14ac:dyDescent="0.2">
      <c r="B28" s="347" t="s">
        <v>135</v>
      </c>
      <c r="C28" s="348"/>
      <c r="D28" s="348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>
        <v>233</v>
      </c>
      <c r="L28" s="178">
        <v>261</v>
      </c>
      <c r="M28" s="178">
        <v>293</v>
      </c>
      <c r="N28" s="178"/>
      <c r="O28" s="178"/>
      <c r="P28" s="243"/>
      <c r="Q28" s="244">
        <f t="shared" si="5"/>
        <v>2146</v>
      </c>
    </row>
    <row r="29" spans="1:17" ht="19.5" customHeight="1" x14ac:dyDescent="0.2">
      <c r="B29" s="347" t="s">
        <v>136</v>
      </c>
      <c r="C29" s="348"/>
      <c r="D29" s="348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>
        <v>231</v>
      </c>
      <c r="L29" s="182">
        <v>215</v>
      </c>
      <c r="M29" s="182">
        <v>237</v>
      </c>
      <c r="N29" s="182"/>
      <c r="O29" s="182"/>
      <c r="P29" s="245"/>
      <c r="Q29" s="244">
        <f t="shared" si="5"/>
        <v>2059</v>
      </c>
    </row>
    <row r="30" spans="1:17" ht="19.5" customHeight="1" x14ac:dyDescent="0.2">
      <c r="B30" s="347" t="s">
        <v>238</v>
      </c>
      <c r="C30" s="348"/>
      <c r="D30" s="348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>
        <v>526</v>
      </c>
      <c r="L30" s="178">
        <v>415</v>
      </c>
      <c r="M30" s="178">
        <v>744</v>
      </c>
      <c r="N30" s="178"/>
      <c r="O30" s="178"/>
      <c r="P30" s="243"/>
      <c r="Q30" s="244">
        <f t="shared" si="5"/>
        <v>5147</v>
      </c>
    </row>
    <row r="31" spans="1:17" ht="19.5" customHeight="1" thickBot="1" x14ac:dyDescent="0.25">
      <c r="B31" s="347" t="s">
        <v>139</v>
      </c>
      <c r="C31" s="348"/>
      <c r="D31" s="348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>
        <v>88</v>
      </c>
      <c r="L31" s="182">
        <v>69</v>
      </c>
      <c r="M31" s="182">
        <v>76</v>
      </c>
      <c r="N31" s="182"/>
      <c r="O31" s="182"/>
      <c r="P31" s="245"/>
      <c r="Q31" s="244">
        <f t="shared" si="5"/>
        <v>653</v>
      </c>
    </row>
    <row r="32" spans="1:17" ht="19.5" hidden="1" customHeight="1" thickBot="1" x14ac:dyDescent="0.25">
      <c r="B32" s="352" t="s">
        <v>138</v>
      </c>
      <c r="C32" s="353"/>
      <c r="D32" s="354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55" t="str">
        <f>"TOTAL "&amp;C22&amp;" "</f>
        <v xml:space="preserve">TOTAL REOPENS </v>
      </c>
      <c r="C33" s="356"/>
      <c r="D33" s="357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2446</v>
      </c>
      <c r="L33" s="262">
        <f t="shared" si="6"/>
        <v>2253</v>
      </c>
      <c r="M33" s="262">
        <f t="shared" si="6"/>
        <v>2780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22035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8" t="s">
        <v>132</v>
      </c>
      <c r="C36" s="359"/>
      <c r="D36" s="359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>
        <v>15</v>
      </c>
      <c r="L36" s="154">
        <v>25</v>
      </c>
      <c r="M36" s="154">
        <v>24</v>
      </c>
      <c r="N36" s="154"/>
      <c r="O36" s="154"/>
      <c r="P36" s="249"/>
      <c r="Q36" s="250">
        <f t="shared" ref="Q36:Q46" si="8">SUM(E36:P36)</f>
        <v>156</v>
      </c>
    </row>
    <row r="37" spans="1:17" ht="19.5" customHeight="1" x14ac:dyDescent="0.2">
      <c r="B37" s="347" t="s">
        <v>133</v>
      </c>
      <c r="C37" s="348"/>
      <c r="D37" s="348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>
        <v>2</v>
      </c>
      <c r="L37" s="158">
        <v>0</v>
      </c>
      <c r="M37" s="158">
        <v>4</v>
      </c>
      <c r="N37" s="158"/>
      <c r="O37" s="158"/>
      <c r="P37" s="251"/>
      <c r="Q37" s="252">
        <f t="shared" si="8"/>
        <v>15</v>
      </c>
    </row>
    <row r="38" spans="1:17" ht="19.5" customHeight="1" x14ac:dyDescent="0.2">
      <c r="B38" s="347" t="s">
        <v>140</v>
      </c>
      <c r="C38" s="348"/>
      <c r="D38" s="348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7" t="s">
        <v>137</v>
      </c>
      <c r="C39" s="348"/>
      <c r="D39" s="348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>
        <v>11</v>
      </c>
      <c r="L39" s="158">
        <v>4</v>
      </c>
      <c r="M39" s="158">
        <v>10</v>
      </c>
      <c r="N39" s="158"/>
      <c r="O39" s="158"/>
      <c r="P39" s="251"/>
      <c r="Q39" s="252">
        <f t="shared" si="8"/>
        <v>81</v>
      </c>
    </row>
    <row r="40" spans="1:17" ht="19.5" customHeight="1" x14ac:dyDescent="0.2">
      <c r="B40" s="347" t="s">
        <v>134</v>
      </c>
      <c r="C40" s="348"/>
      <c r="D40" s="348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>
        <v>2</v>
      </c>
      <c r="L40" s="161">
        <v>9</v>
      </c>
      <c r="M40" s="161">
        <v>47</v>
      </c>
      <c r="N40" s="161"/>
      <c r="O40" s="161"/>
      <c r="P40" s="253"/>
      <c r="Q40" s="252">
        <f t="shared" si="8"/>
        <v>93</v>
      </c>
    </row>
    <row r="41" spans="1:17" ht="19.5" customHeight="1" x14ac:dyDescent="0.2">
      <c r="B41" s="347" t="s">
        <v>135</v>
      </c>
      <c r="C41" s="348"/>
      <c r="D41" s="348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>
        <v>1</v>
      </c>
      <c r="L41" s="158">
        <v>1</v>
      </c>
      <c r="M41" s="158">
        <v>1</v>
      </c>
      <c r="N41" s="158"/>
      <c r="O41" s="158"/>
      <c r="P41" s="251"/>
      <c r="Q41" s="252">
        <f t="shared" si="8"/>
        <v>10</v>
      </c>
    </row>
    <row r="42" spans="1:17" ht="19.5" customHeight="1" x14ac:dyDescent="0.2">
      <c r="B42" s="347" t="s">
        <v>136</v>
      </c>
      <c r="C42" s="348"/>
      <c r="D42" s="348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>
        <v>5</v>
      </c>
      <c r="L42" s="161">
        <v>2</v>
      </c>
      <c r="M42" s="161">
        <v>3</v>
      </c>
      <c r="N42" s="161"/>
      <c r="O42" s="161"/>
      <c r="P42" s="253"/>
      <c r="Q42" s="252">
        <f t="shared" si="8"/>
        <v>14</v>
      </c>
    </row>
    <row r="43" spans="1:17" ht="19.5" customHeight="1" x14ac:dyDescent="0.2">
      <c r="B43" s="347" t="s">
        <v>238</v>
      </c>
      <c r="C43" s="348"/>
      <c r="D43" s="348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>
        <v>5</v>
      </c>
      <c r="L43" s="158">
        <v>8</v>
      </c>
      <c r="M43" s="158">
        <v>6</v>
      </c>
      <c r="N43" s="158"/>
      <c r="O43" s="158"/>
      <c r="P43" s="251"/>
      <c r="Q43" s="252">
        <f t="shared" si="8"/>
        <v>48</v>
      </c>
    </row>
    <row r="44" spans="1:17" ht="19.5" customHeight="1" x14ac:dyDescent="0.2">
      <c r="B44" s="347" t="s">
        <v>139</v>
      </c>
      <c r="C44" s="348"/>
      <c r="D44" s="348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>
        <v>3</v>
      </c>
      <c r="L44" s="161">
        <v>1</v>
      </c>
      <c r="M44" s="161">
        <v>3</v>
      </c>
      <c r="N44" s="161"/>
      <c r="O44" s="161"/>
      <c r="P44" s="253"/>
      <c r="Q44" s="252">
        <f t="shared" si="8"/>
        <v>25</v>
      </c>
    </row>
    <row r="45" spans="1:17" ht="19.5" customHeight="1" thickBot="1" x14ac:dyDescent="0.25">
      <c r="B45" s="352" t="s">
        <v>138</v>
      </c>
      <c r="C45" s="353"/>
      <c r="D45" s="354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>
        <v>0</v>
      </c>
      <c r="L45" s="166">
        <v>1</v>
      </c>
      <c r="M45" s="166">
        <v>0</v>
      </c>
      <c r="N45" s="166"/>
      <c r="O45" s="166"/>
      <c r="P45" s="254"/>
      <c r="Q45" s="255">
        <f t="shared" si="8"/>
        <v>6</v>
      </c>
    </row>
    <row r="46" spans="1:17" s="17" customFormat="1" ht="19.5" customHeight="1" thickTop="1" thickBot="1" x14ac:dyDescent="0.25">
      <c r="B46" s="355" t="str">
        <f>"TOTAL "&amp;C35&amp;" ="</f>
        <v>TOTAL NOAs =</v>
      </c>
      <c r="C46" s="356"/>
      <c r="D46" s="357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44</v>
      </c>
      <c r="L46" s="170">
        <f t="shared" si="9"/>
        <v>51</v>
      </c>
      <c r="M46" s="170">
        <f t="shared" si="9"/>
        <v>98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448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O6:Q6"/>
    <mergeCell ref="J7:N7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31:D31"/>
    <mergeCell ref="B43:D43"/>
    <mergeCell ref="B32:D32"/>
    <mergeCell ref="B36:D36"/>
    <mergeCell ref="B37:D37"/>
    <mergeCell ref="B38:D38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Normal="100" zoomScaleSheetLayoutView="100" zoomScalePageLayoutView="75" workbookViewId="0">
      <selection activeCell="I75" sqref="I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433" t="s">
        <v>257</v>
      </c>
      <c r="B1" s="433"/>
      <c r="C1" s="433"/>
      <c r="D1" s="433"/>
      <c r="E1" s="433"/>
      <c r="F1" s="433"/>
    </row>
    <row r="2" spans="1:19" ht="24" customHeight="1" x14ac:dyDescent="0.2">
      <c r="A2" s="433" t="str">
        <f>'Sub Cases Monthly'!A2</f>
        <v>County Fiscal Year 2020-2021</v>
      </c>
      <c r="B2" s="433"/>
      <c r="C2" s="433"/>
      <c r="D2" s="433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82" t="str">
        <f>IF('Sub Cases Monthly'!D4="","",'Sub Cases Monthly'!D4)</f>
        <v>Brevard</v>
      </c>
      <c r="E4" s="382"/>
      <c r="F4" s="8"/>
      <c r="G4" s="138" t="s">
        <v>319</v>
      </c>
      <c r="H4" s="435" t="s">
        <v>415</v>
      </c>
      <c r="I4" s="435"/>
      <c r="K4" s="138" t="s">
        <v>3</v>
      </c>
      <c r="L4" s="257">
        <v>2</v>
      </c>
      <c r="N4" s="1"/>
      <c r="O4" s="1"/>
      <c r="R4" s="434" t="s">
        <v>431</v>
      </c>
      <c r="S4" s="434"/>
    </row>
    <row r="5" spans="1:19" ht="24" customHeight="1" x14ac:dyDescent="0.3">
      <c r="A5" s="7"/>
      <c r="C5" s="138" t="s">
        <v>73</v>
      </c>
      <c r="D5" s="436" t="str">
        <f>IF('Sub Cases Monthly'!D5="","",'Sub Cases Monthly'!D5)</f>
        <v>Andrea Butler</v>
      </c>
      <c r="E5" s="436"/>
      <c r="F5" s="8"/>
      <c r="N5" s="9"/>
      <c r="R5" s="434"/>
      <c r="S5" s="434"/>
    </row>
    <row r="6" spans="1:19" ht="24" customHeight="1" x14ac:dyDescent="0.2">
      <c r="A6" s="7"/>
      <c r="C6" s="138" t="s">
        <v>84</v>
      </c>
      <c r="D6" s="382" t="str">
        <f>IF('Sub Cases Monthly'!D6="","",'Sub Cases Monthly'!D6)</f>
        <v>andrea.butler@brevardclerk.us</v>
      </c>
      <c r="E6" s="382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28" t="s">
        <v>258</v>
      </c>
      <c r="B8" s="428"/>
      <c r="C8" s="428"/>
      <c r="D8" s="428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29" t="s">
        <v>243</v>
      </c>
      <c r="F9" s="431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26" t="s">
        <v>266</v>
      </c>
      <c r="L9" s="419" t="str">
        <f t="shared" ref="L9:M9" si="0">TEXT(DATE(LEFT(RIGHT($A$2,9),4),10,1),"m/d/yy")&amp;" - "&amp;TEXT(DATE(LEFT(RIGHT($A$2,9),4),12,31),"m/d/yy")</f>
        <v>10/1/20 - 12/31/20</v>
      </c>
      <c r="M9" s="420" t="str">
        <f t="shared" si="0"/>
        <v>10/1/20 - 12/31/20</v>
      </c>
      <c r="N9" s="419" t="str">
        <f t="shared" ref="N9:O9" si="1">TEXT(DATE(RIGHT($A$2,4),1,1),"m/d/yy")&amp;" - "&amp;TEXT(DATE(RIGHT($A$2,4),3,31),"m/d/yy")</f>
        <v>1/1/21 - 3/31/21</v>
      </c>
      <c r="O9" s="420" t="str">
        <f t="shared" si="1"/>
        <v>1/1/21 - 3/31/21</v>
      </c>
      <c r="P9" s="419" t="str">
        <f t="shared" ref="P9:Q9" si="2">TEXT(DATE(RIGHT($A$2,4),4,1),"m/d/yy")&amp;" - "&amp;TEXT(DATE(RIGHT($A$2,4),6,30),"m/d/yy")</f>
        <v>4/1/21 - 6/30/21</v>
      </c>
      <c r="Q9" s="421" t="str">
        <f t="shared" si="2"/>
        <v>4/1/21 - 6/30/21</v>
      </c>
      <c r="R9" s="422" t="str">
        <f t="shared" ref="R9:S9" si="3">TEXT(DATE(RIGHT($A$2,4),7,1),"m/d/yy")&amp;" - "&amp;TEXT(DATE(RIGHT($A$2,4),9,30),"m/d/yy")</f>
        <v>7/1/21 - 9/30/21</v>
      </c>
      <c r="S9" s="423" t="str">
        <f t="shared" si="3"/>
        <v>7/1/21 - 9/30/21</v>
      </c>
    </row>
    <row r="10" spans="1:19" ht="19.5" customHeight="1" thickBot="1" x14ac:dyDescent="0.25">
      <c r="B10" s="26"/>
      <c r="C10" s="424"/>
      <c r="D10" s="425"/>
      <c r="E10" s="430"/>
      <c r="F10" s="432"/>
      <c r="G10" s="269" t="s">
        <v>262</v>
      </c>
      <c r="H10" s="270" t="s">
        <v>263</v>
      </c>
      <c r="I10" s="270" t="s">
        <v>264</v>
      </c>
      <c r="J10" s="271" t="s">
        <v>265</v>
      </c>
      <c r="K10" s="427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404" t="s">
        <v>267</v>
      </c>
      <c r="C11" s="405"/>
      <c r="D11" s="136" t="s">
        <v>245</v>
      </c>
      <c r="E11" s="410">
        <v>0.8</v>
      </c>
      <c r="F11" s="413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1871</v>
      </c>
      <c r="J11" s="95">
        <f>SUM('Outputs Monthly'!N10:P10)</f>
        <v>0</v>
      </c>
      <c r="K11" s="96">
        <f>SUM(G11:J11)</f>
        <v>5367</v>
      </c>
      <c r="L11" s="416"/>
      <c r="M11" s="390"/>
      <c r="N11" s="387"/>
      <c r="O11" s="390"/>
      <c r="P11" s="387"/>
      <c r="Q11" s="393"/>
      <c r="R11" s="396"/>
      <c r="S11" s="399"/>
    </row>
    <row r="12" spans="1:19" ht="19.5" customHeight="1" thickBot="1" x14ac:dyDescent="0.25">
      <c r="B12" s="406"/>
      <c r="C12" s="407"/>
      <c r="D12" s="135" t="s">
        <v>260</v>
      </c>
      <c r="E12" s="411"/>
      <c r="F12" s="414"/>
      <c r="G12" s="97">
        <v>1663</v>
      </c>
      <c r="H12" s="98">
        <v>1817</v>
      </c>
      <c r="I12" s="98">
        <v>1863</v>
      </c>
      <c r="J12" s="99"/>
      <c r="K12" s="100">
        <f>SUM(G12:J12)</f>
        <v>5343</v>
      </c>
      <c r="L12" s="417"/>
      <c r="M12" s="391"/>
      <c r="N12" s="388"/>
      <c r="O12" s="391"/>
      <c r="P12" s="388"/>
      <c r="Q12" s="394"/>
      <c r="R12" s="397"/>
      <c r="S12" s="400"/>
    </row>
    <row r="13" spans="1:19" ht="19.5" customHeight="1" thickTop="1" thickBot="1" x14ac:dyDescent="0.25">
      <c r="B13" s="408"/>
      <c r="C13" s="409"/>
      <c r="D13" s="36" t="s">
        <v>247</v>
      </c>
      <c r="E13" s="412"/>
      <c r="F13" s="415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0.99570000000000003</v>
      </c>
      <c r="J13" s="103">
        <f t="shared" si="4"/>
        <v>1</v>
      </c>
      <c r="K13" s="104">
        <f t="shared" si="4"/>
        <v>0.99550000000000005</v>
      </c>
      <c r="L13" s="418"/>
      <c r="M13" s="392"/>
      <c r="N13" s="389"/>
      <c r="O13" s="392"/>
      <c r="P13" s="389"/>
      <c r="Q13" s="395"/>
      <c r="R13" s="398"/>
      <c r="S13" s="401"/>
    </row>
    <row r="14" spans="1:19" s="1" customFormat="1" ht="19.5" customHeight="1" x14ac:dyDescent="0.2">
      <c r="B14" s="404" t="s">
        <v>271</v>
      </c>
      <c r="C14" s="405"/>
      <c r="D14" s="136" t="s">
        <v>245</v>
      </c>
      <c r="E14" s="410">
        <v>0.8</v>
      </c>
      <c r="F14" s="413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2032</v>
      </c>
      <c r="J14" s="95">
        <f>SUM('Outputs Monthly'!N11:P11)</f>
        <v>0</v>
      </c>
      <c r="K14" s="96">
        <f>SUM(G14:J14)</f>
        <v>5703</v>
      </c>
      <c r="L14" s="416"/>
      <c r="M14" s="390"/>
      <c r="N14" s="387"/>
      <c r="O14" s="390"/>
      <c r="P14" s="387"/>
      <c r="Q14" s="393"/>
      <c r="R14" s="396"/>
      <c r="S14" s="399"/>
    </row>
    <row r="15" spans="1:19" s="1" customFormat="1" ht="19.5" customHeight="1" thickBot="1" x14ac:dyDescent="0.25">
      <c r="B15" s="406"/>
      <c r="C15" s="407"/>
      <c r="D15" s="135" t="s">
        <v>274</v>
      </c>
      <c r="E15" s="411"/>
      <c r="F15" s="414"/>
      <c r="G15" s="97">
        <v>1751</v>
      </c>
      <c r="H15" s="98">
        <v>1900</v>
      </c>
      <c r="I15" s="98">
        <v>2016</v>
      </c>
      <c r="J15" s="99"/>
      <c r="K15" s="100">
        <f>SUM(G15:J15)</f>
        <v>5667</v>
      </c>
      <c r="L15" s="417"/>
      <c r="M15" s="391"/>
      <c r="N15" s="388"/>
      <c r="O15" s="391"/>
      <c r="P15" s="388"/>
      <c r="Q15" s="394"/>
      <c r="R15" s="397"/>
      <c r="S15" s="400"/>
    </row>
    <row r="16" spans="1:19" s="1" customFormat="1" ht="19.5" customHeight="1" thickTop="1" thickBot="1" x14ac:dyDescent="0.25">
      <c r="B16" s="408"/>
      <c r="C16" s="409"/>
      <c r="D16" s="36" t="s">
        <v>247</v>
      </c>
      <c r="E16" s="412"/>
      <c r="F16" s="415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0.99209999999999998</v>
      </c>
      <c r="J16" s="103">
        <f t="shared" ref="J16" si="7">IF(J14=0,1,IFERROR(ROUND(J15/J14,4),0))</f>
        <v>1</v>
      </c>
      <c r="K16" s="104">
        <f t="shared" ref="K16" si="8">IF(K14=0,1,IFERROR(ROUND(K15/K14,4),0))</f>
        <v>0.99370000000000003</v>
      </c>
      <c r="L16" s="418"/>
      <c r="M16" s="392"/>
      <c r="N16" s="389"/>
      <c r="O16" s="392"/>
      <c r="P16" s="389"/>
      <c r="Q16" s="395"/>
      <c r="R16" s="398"/>
      <c r="S16" s="401"/>
    </row>
    <row r="17" spans="2:19" s="1" customFormat="1" ht="19.5" customHeight="1" x14ac:dyDescent="0.2">
      <c r="B17" s="404" t="s">
        <v>256</v>
      </c>
      <c r="C17" s="405"/>
      <c r="D17" s="136" t="s">
        <v>252</v>
      </c>
      <c r="E17" s="410">
        <v>0.8</v>
      </c>
      <c r="F17" s="413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201</v>
      </c>
      <c r="J17" s="95">
        <f>SUM('Outputs Monthly'!N12:P12)</f>
        <v>0</v>
      </c>
      <c r="K17" s="96">
        <f>SUM(G17:J17)</f>
        <v>623</v>
      </c>
      <c r="L17" s="416"/>
      <c r="M17" s="390"/>
      <c r="N17" s="387"/>
      <c r="O17" s="390"/>
      <c r="P17" s="387"/>
      <c r="Q17" s="393"/>
      <c r="R17" s="396"/>
      <c r="S17" s="399"/>
    </row>
    <row r="18" spans="2:19" s="1" customFormat="1" ht="19.5" customHeight="1" thickBot="1" x14ac:dyDescent="0.25">
      <c r="B18" s="406"/>
      <c r="C18" s="407"/>
      <c r="D18" s="135" t="s">
        <v>260</v>
      </c>
      <c r="E18" s="411"/>
      <c r="F18" s="414"/>
      <c r="G18" s="97">
        <v>209</v>
      </c>
      <c r="H18" s="98">
        <v>193</v>
      </c>
      <c r="I18" s="98">
        <v>196</v>
      </c>
      <c r="J18" s="99"/>
      <c r="K18" s="100">
        <f>SUM(G18:J18)</f>
        <v>598</v>
      </c>
      <c r="L18" s="417"/>
      <c r="M18" s="391"/>
      <c r="N18" s="388"/>
      <c r="O18" s="391"/>
      <c r="P18" s="388"/>
      <c r="Q18" s="394"/>
      <c r="R18" s="397"/>
      <c r="S18" s="400"/>
    </row>
    <row r="19" spans="2:19" s="1" customFormat="1" ht="19.5" customHeight="1" thickTop="1" thickBot="1" x14ac:dyDescent="0.25">
      <c r="B19" s="408"/>
      <c r="C19" s="409"/>
      <c r="D19" s="36" t="s">
        <v>247</v>
      </c>
      <c r="E19" s="412"/>
      <c r="F19" s="415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0.97509999999999997</v>
      </c>
      <c r="J19" s="103">
        <f t="shared" ref="J19" si="11">IF(J17=0,1,IFERROR(ROUND(J18/J17,4),0))</f>
        <v>1</v>
      </c>
      <c r="K19" s="104">
        <f t="shared" ref="K19" si="12">IF(K17=0,1,IFERROR(ROUND(K18/K17,4),0))</f>
        <v>0.95989999999999998</v>
      </c>
      <c r="L19" s="418"/>
      <c r="M19" s="392"/>
      <c r="N19" s="389"/>
      <c r="O19" s="392"/>
      <c r="P19" s="389"/>
      <c r="Q19" s="395"/>
      <c r="R19" s="398"/>
      <c r="S19" s="401"/>
    </row>
    <row r="20" spans="2:19" s="1" customFormat="1" ht="19.5" customHeight="1" x14ac:dyDescent="0.2">
      <c r="B20" s="404" t="s">
        <v>272</v>
      </c>
      <c r="C20" s="405"/>
      <c r="D20" s="136" t="s">
        <v>273</v>
      </c>
      <c r="E20" s="410">
        <v>0.8</v>
      </c>
      <c r="F20" s="413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2597</v>
      </c>
      <c r="J20" s="95">
        <f>SUM('Outputs Monthly'!N13:P13)</f>
        <v>0</v>
      </c>
      <c r="K20" s="96">
        <f>SUM(G20:J20)</f>
        <v>7864</v>
      </c>
      <c r="L20" s="416"/>
      <c r="M20" s="390"/>
      <c r="N20" s="387"/>
      <c r="O20" s="390"/>
      <c r="P20" s="387"/>
      <c r="Q20" s="393"/>
      <c r="R20" s="396"/>
      <c r="S20" s="399"/>
    </row>
    <row r="21" spans="2:19" s="1" customFormat="1" ht="19.5" customHeight="1" thickBot="1" x14ac:dyDescent="0.25">
      <c r="B21" s="406"/>
      <c r="C21" s="407"/>
      <c r="D21" s="135" t="s">
        <v>274</v>
      </c>
      <c r="E21" s="411"/>
      <c r="F21" s="414"/>
      <c r="G21" s="97">
        <v>2441</v>
      </c>
      <c r="H21" s="98">
        <v>2475</v>
      </c>
      <c r="I21" s="98">
        <v>2349</v>
      </c>
      <c r="J21" s="99"/>
      <c r="K21" s="100">
        <f>SUM(G21:J21)</f>
        <v>7265</v>
      </c>
      <c r="L21" s="417"/>
      <c r="M21" s="391"/>
      <c r="N21" s="388"/>
      <c r="O21" s="391"/>
      <c r="P21" s="388"/>
      <c r="Q21" s="394"/>
      <c r="R21" s="397"/>
      <c r="S21" s="400"/>
    </row>
    <row r="22" spans="2:19" s="1" customFormat="1" ht="19.5" customHeight="1" thickTop="1" thickBot="1" x14ac:dyDescent="0.25">
      <c r="B22" s="408"/>
      <c r="C22" s="409"/>
      <c r="D22" s="36" t="s">
        <v>247</v>
      </c>
      <c r="E22" s="412"/>
      <c r="F22" s="415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0.90449999999999997</v>
      </c>
      <c r="J22" s="103">
        <f t="shared" ref="J22" si="15">IF(J20=0,1,IFERROR(ROUND(J21/J20,4),0))</f>
        <v>1</v>
      </c>
      <c r="K22" s="104">
        <f t="shared" ref="K22" si="16">IF(K20=0,1,IFERROR(ROUND(K21/K20,4),0))</f>
        <v>0.92379999999999995</v>
      </c>
      <c r="L22" s="418"/>
      <c r="M22" s="392"/>
      <c r="N22" s="389"/>
      <c r="O22" s="392"/>
      <c r="P22" s="389"/>
      <c r="Q22" s="395"/>
      <c r="R22" s="398"/>
      <c r="S22" s="401"/>
    </row>
    <row r="23" spans="2:19" s="1" customFormat="1" ht="19.5" customHeight="1" x14ac:dyDescent="0.2">
      <c r="B23" s="404" t="s">
        <v>275</v>
      </c>
      <c r="C23" s="405"/>
      <c r="D23" s="136" t="s">
        <v>253</v>
      </c>
      <c r="E23" s="410">
        <v>0.8</v>
      </c>
      <c r="F23" s="413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1077</v>
      </c>
      <c r="J23" s="95">
        <f>SUM('Outputs Monthly'!N14:P14)</f>
        <v>0</v>
      </c>
      <c r="K23" s="96">
        <f>SUM(G23:J23)</f>
        <v>3203</v>
      </c>
      <c r="L23" s="416" t="s">
        <v>246</v>
      </c>
      <c r="M23" s="390" t="s">
        <v>434</v>
      </c>
      <c r="N23" s="387" t="s">
        <v>246</v>
      </c>
      <c r="O23" s="390" t="s">
        <v>436</v>
      </c>
      <c r="P23" s="387" t="s">
        <v>246</v>
      </c>
      <c r="Q23" s="393" t="s">
        <v>437</v>
      </c>
      <c r="R23" s="396"/>
      <c r="S23" s="399"/>
    </row>
    <row r="24" spans="2:19" s="1" customFormat="1" ht="19.5" customHeight="1" thickBot="1" x14ac:dyDescent="0.25">
      <c r="B24" s="406"/>
      <c r="C24" s="407"/>
      <c r="D24" s="135" t="s">
        <v>260</v>
      </c>
      <c r="E24" s="411"/>
      <c r="F24" s="414"/>
      <c r="G24" s="97">
        <v>514</v>
      </c>
      <c r="H24" s="98">
        <v>318</v>
      </c>
      <c r="I24" s="98">
        <v>214</v>
      </c>
      <c r="J24" s="99"/>
      <c r="K24" s="100">
        <f>SUM(G24:J24)</f>
        <v>1046</v>
      </c>
      <c r="L24" s="417"/>
      <c r="M24" s="391"/>
      <c r="N24" s="388"/>
      <c r="O24" s="391"/>
      <c r="P24" s="388"/>
      <c r="Q24" s="394"/>
      <c r="R24" s="397"/>
      <c r="S24" s="400"/>
    </row>
    <row r="25" spans="2:19" s="1" customFormat="1" ht="19.5" customHeight="1" thickTop="1" thickBot="1" x14ac:dyDescent="0.25">
      <c r="B25" s="408"/>
      <c r="C25" s="409"/>
      <c r="D25" s="36" t="s">
        <v>247</v>
      </c>
      <c r="E25" s="412"/>
      <c r="F25" s="415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0.19869999999999999</v>
      </c>
      <c r="J25" s="103">
        <f t="shared" ref="J25" si="19">IF(J23=0,1,IFERROR(ROUND(J24/J23,4),0))</f>
        <v>1</v>
      </c>
      <c r="K25" s="104">
        <f t="shared" ref="K25" si="20">IF(K23=0,1,IFERROR(ROUND(K24/K23,4),0))</f>
        <v>0.3266</v>
      </c>
      <c r="L25" s="418"/>
      <c r="M25" s="392"/>
      <c r="N25" s="389"/>
      <c r="O25" s="392"/>
      <c r="P25" s="389"/>
      <c r="Q25" s="395"/>
      <c r="R25" s="398"/>
      <c r="S25" s="401"/>
    </row>
    <row r="26" spans="2:19" s="1" customFormat="1" ht="19.5" customHeight="1" x14ac:dyDescent="0.2">
      <c r="B26" s="404" t="s">
        <v>276</v>
      </c>
      <c r="C26" s="405"/>
      <c r="D26" s="136" t="s">
        <v>253</v>
      </c>
      <c r="E26" s="410">
        <v>0.8</v>
      </c>
      <c r="F26" s="413" t="s">
        <v>269</v>
      </c>
      <c r="G26" s="93">
        <f>SUM('Outputs Monthly'!E15:G15)</f>
        <v>2199</v>
      </c>
      <c r="H26" s="94">
        <f>SUM('Outputs Monthly'!H15:J15)</f>
        <v>2318</v>
      </c>
      <c r="I26" s="94">
        <f>SUM('Outputs Monthly'!K15:M15)</f>
        <v>2860</v>
      </c>
      <c r="J26" s="95">
        <f>SUM('Outputs Monthly'!N15:P15)</f>
        <v>0</v>
      </c>
      <c r="K26" s="96">
        <f>SUM(G26:J26)</f>
        <v>7377</v>
      </c>
      <c r="L26" s="416" t="s">
        <v>246</v>
      </c>
      <c r="M26" s="390" t="s">
        <v>434</v>
      </c>
      <c r="N26" s="387" t="s">
        <v>246</v>
      </c>
      <c r="O26" s="390" t="s">
        <v>436</v>
      </c>
      <c r="P26" s="387" t="s">
        <v>246</v>
      </c>
      <c r="Q26" s="393" t="s">
        <v>437</v>
      </c>
      <c r="R26" s="396"/>
      <c r="S26" s="399"/>
    </row>
    <row r="27" spans="2:19" s="1" customFormat="1" ht="19.5" customHeight="1" thickBot="1" x14ac:dyDescent="0.25">
      <c r="B27" s="406"/>
      <c r="C27" s="407"/>
      <c r="D27" s="135" t="s">
        <v>260</v>
      </c>
      <c r="E27" s="411"/>
      <c r="F27" s="414"/>
      <c r="G27" s="97">
        <v>1250</v>
      </c>
      <c r="H27" s="98">
        <v>703</v>
      </c>
      <c r="I27" s="98">
        <v>1217</v>
      </c>
      <c r="J27" s="99"/>
      <c r="K27" s="100">
        <f>SUM(G27:J27)</f>
        <v>3170</v>
      </c>
      <c r="L27" s="417"/>
      <c r="M27" s="391"/>
      <c r="N27" s="388"/>
      <c r="O27" s="391"/>
      <c r="P27" s="388"/>
      <c r="Q27" s="394"/>
      <c r="R27" s="397"/>
      <c r="S27" s="400"/>
    </row>
    <row r="28" spans="2:19" s="1" customFormat="1" ht="19.5" customHeight="1" thickTop="1" thickBot="1" x14ac:dyDescent="0.25">
      <c r="B28" s="408"/>
      <c r="C28" s="409"/>
      <c r="D28" s="36" t="s">
        <v>247</v>
      </c>
      <c r="E28" s="412"/>
      <c r="F28" s="415"/>
      <c r="G28" s="101">
        <f>IF(G26=0,1,IFERROR(ROUND(G27/G26,4),0))</f>
        <v>0.56840000000000002</v>
      </c>
      <c r="H28" s="102">
        <f t="shared" ref="H28" si="21">IF(H26=0,1,IFERROR(ROUND(H27/H26,4),0))</f>
        <v>0.30330000000000001</v>
      </c>
      <c r="I28" s="102">
        <f t="shared" ref="I28" si="22">IF(I26=0,1,IFERROR(ROUND(I27/I26,4),0))</f>
        <v>0.42549999999999999</v>
      </c>
      <c r="J28" s="103">
        <f t="shared" ref="J28" si="23">IF(J26=0,1,IFERROR(ROUND(J27/J26,4),0))</f>
        <v>1</v>
      </c>
      <c r="K28" s="104">
        <f t="shared" ref="K28" si="24">IF(K26=0,1,IFERROR(ROUND(K27/K26,4),0))</f>
        <v>0.42970000000000003</v>
      </c>
      <c r="L28" s="418"/>
      <c r="M28" s="392"/>
      <c r="N28" s="389"/>
      <c r="O28" s="392"/>
      <c r="P28" s="389"/>
      <c r="Q28" s="395"/>
      <c r="R28" s="398"/>
      <c r="S28" s="401"/>
    </row>
    <row r="29" spans="2:19" s="1" customFormat="1" ht="19.5" customHeight="1" x14ac:dyDescent="0.2">
      <c r="B29" s="404" t="s">
        <v>277</v>
      </c>
      <c r="C29" s="405"/>
      <c r="D29" s="136" t="s">
        <v>253</v>
      </c>
      <c r="E29" s="410">
        <v>0.8</v>
      </c>
      <c r="F29" s="413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1928</v>
      </c>
      <c r="J29" s="95">
        <f>SUM('Outputs Monthly'!N16:P16)</f>
        <v>0</v>
      </c>
      <c r="K29" s="96">
        <f>SUM(G29:J29)</f>
        <v>5536</v>
      </c>
      <c r="L29" s="416" t="s">
        <v>246</v>
      </c>
      <c r="M29" s="390" t="s">
        <v>435</v>
      </c>
      <c r="N29" s="387"/>
      <c r="O29" s="390"/>
      <c r="P29" s="387"/>
      <c r="Q29" s="393"/>
      <c r="R29" s="396"/>
      <c r="S29" s="399"/>
    </row>
    <row r="30" spans="2:19" s="1" customFormat="1" ht="19.5" customHeight="1" thickBot="1" x14ac:dyDescent="0.25">
      <c r="B30" s="406"/>
      <c r="C30" s="407"/>
      <c r="D30" s="135" t="s">
        <v>260</v>
      </c>
      <c r="E30" s="411"/>
      <c r="F30" s="414"/>
      <c r="G30" s="97">
        <v>1186</v>
      </c>
      <c r="H30" s="98">
        <v>1638</v>
      </c>
      <c r="I30" s="98">
        <v>1838</v>
      </c>
      <c r="J30" s="99"/>
      <c r="K30" s="100">
        <f>SUM(G30:J30)</f>
        <v>4662</v>
      </c>
      <c r="L30" s="417"/>
      <c r="M30" s="391"/>
      <c r="N30" s="388"/>
      <c r="O30" s="391"/>
      <c r="P30" s="388"/>
      <c r="Q30" s="394"/>
      <c r="R30" s="397"/>
      <c r="S30" s="400"/>
    </row>
    <row r="31" spans="2:19" s="1" customFormat="1" ht="19.5" customHeight="1" thickTop="1" thickBot="1" x14ac:dyDescent="0.25">
      <c r="B31" s="408"/>
      <c r="C31" s="409"/>
      <c r="D31" s="36" t="s">
        <v>247</v>
      </c>
      <c r="E31" s="412"/>
      <c r="F31" s="415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0.95330000000000004</v>
      </c>
      <c r="J31" s="103">
        <f t="shared" ref="J31" si="27">IF(J29=0,1,IFERROR(ROUND(J30/J29,4),0))</f>
        <v>1</v>
      </c>
      <c r="K31" s="104">
        <f t="shared" ref="K31" si="28">IF(K29=0,1,IFERROR(ROUND(K30/K29,4),0))</f>
        <v>0.84209999999999996</v>
      </c>
      <c r="L31" s="418"/>
      <c r="M31" s="392"/>
      <c r="N31" s="389"/>
      <c r="O31" s="392"/>
      <c r="P31" s="389"/>
      <c r="Q31" s="395"/>
      <c r="R31" s="398"/>
      <c r="S31" s="401"/>
    </row>
    <row r="32" spans="2:19" s="1" customFormat="1" ht="19.5" customHeight="1" x14ac:dyDescent="0.2">
      <c r="B32" s="404" t="s">
        <v>278</v>
      </c>
      <c r="C32" s="405"/>
      <c r="D32" s="136" t="s">
        <v>253</v>
      </c>
      <c r="E32" s="410">
        <v>0.8</v>
      </c>
      <c r="F32" s="413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1609</v>
      </c>
      <c r="J32" s="95">
        <f>SUM('Outputs Monthly'!N17:P17)</f>
        <v>0</v>
      </c>
      <c r="K32" s="96">
        <f>SUM(G32:J32)</f>
        <v>4486</v>
      </c>
      <c r="L32" s="416"/>
      <c r="M32" s="390"/>
      <c r="N32" s="387"/>
      <c r="O32" s="390"/>
      <c r="P32" s="387"/>
      <c r="Q32" s="393"/>
      <c r="R32" s="396"/>
      <c r="S32" s="399"/>
    </row>
    <row r="33" spans="1:19" s="1" customFormat="1" ht="19.5" customHeight="1" thickBot="1" x14ac:dyDescent="0.25">
      <c r="B33" s="406"/>
      <c r="C33" s="407"/>
      <c r="D33" s="135" t="s">
        <v>274</v>
      </c>
      <c r="E33" s="411"/>
      <c r="F33" s="414"/>
      <c r="G33" s="97">
        <v>1354</v>
      </c>
      <c r="H33" s="98">
        <v>1440</v>
      </c>
      <c r="I33" s="98">
        <v>1589</v>
      </c>
      <c r="J33" s="99"/>
      <c r="K33" s="100">
        <f>SUM(G33:J33)</f>
        <v>4383</v>
      </c>
      <c r="L33" s="417"/>
      <c r="M33" s="391"/>
      <c r="N33" s="388"/>
      <c r="O33" s="391"/>
      <c r="P33" s="388"/>
      <c r="Q33" s="394"/>
      <c r="R33" s="397"/>
      <c r="S33" s="400"/>
    </row>
    <row r="34" spans="1:19" s="1" customFormat="1" ht="19.5" customHeight="1" thickTop="1" thickBot="1" x14ac:dyDescent="0.25">
      <c r="B34" s="408"/>
      <c r="C34" s="409"/>
      <c r="D34" s="36" t="s">
        <v>247</v>
      </c>
      <c r="E34" s="412"/>
      <c r="F34" s="415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0.98760000000000003</v>
      </c>
      <c r="J34" s="103">
        <f t="shared" ref="J34" si="31">IF(J32=0,1,IFERROR(ROUND(J33/J32,4),0))</f>
        <v>1</v>
      </c>
      <c r="K34" s="104">
        <f t="shared" ref="K34" si="32">IF(K32=0,1,IFERROR(ROUND(K33/K32,4),0))</f>
        <v>0.97699999999999998</v>
      </c>
      <c r="L34" s="418"/>
      <c r="M34" s="392"/>
      <c r="N34" s="389"/>
      <c r="O34" s="392"/>
      <c r="P34" s="389"/>
      <c r="Q34" s="395"/>
      <c r="R34" s="398"/>
      <c r="S34" s="401"/>
    </row>
    <row r="35" spans="1:19" s="1" customFormat="1" ht="19.5" customHeight="1" x14ac:dyDescent="0.2">
      <c r="B35" s="404" t="s">
        <v>279</v>
      </c>
      <c r="C35" s="405"/>
      <c r="D35" s="136" t="s">
        <v>253</v>
      </c>
      <c r="E35" s="410">
        <v>0.8</v>
      </c>
      <c r="F35" s="413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94</v>
      </c>
      <c r="J35" s="95">
        <f>SUM('Outputs Monthly'!N18:P18)</f>
        <v>0</v>
      </c>
      <c r="K35" s="96">
        <f>SUM(G35:J35)</f>
        <v>281</v>
      </c>
      <c r="L35" s="416"/>
      <c r="M35" s="390"/>
      <c r="N35" s="387"/>
      <c r="O35" s="390"/>
      <c r="P35" s="387"/>
      <c r="Q35" s="393"/>
      <c r="R35" s="396"/>
      <c r="S35" s="399"/>
    </row>
    <row r="36" spans="1:19" s="1" customFormat="1" ht="19.5" customHeight="1" thickBot="1" x14ac:dyDescent="0.25">
      <c r="B36" s="406"/>
      <c r="C36" s="407"/>
      <c r="D36" s="135" t="s">
        <v>260</v>
      </c>
      <c r="E36" s="411"/>
      <c r="F36" s="414"/>
      <c r="G36" s="97">
        <v>92</v>
      </c>
      <c r="H36" s="98">
        <v>95</v>
      </c>
      <c r="I36" s="98">
        <v>94</v>
      </c>
      <c r="J36" s="99"/>
      <c r="K36" s="100">
        <f>SUM(G36:J36)</f>
        <v>281</v>
      </c>
      <c r="L36" s="417"/>
      <c r="M36" s="391"/>
      <c r="N36" s="388"/>
      <c r="O36" s="391"/>
      <c r="P36" s="388"/>
      <c r="Q36" s="394"/>
      <c r="R36" s="397"/>
      <c r="S36" s="400"/>
    </row>
    <row r="37" spans="1:19" s="1" customFormat="1" ht="15.75" customHeight="1" thickTop="1" thickBot="1" x14ac:dyDescent="0.25">
      <c r="B37" s="408"/>
      <c r="C37" s="409"/>
      <c r="D37" s="36" t="s">
        <v>247</v>
      </c>
      <c r="E37" s="412"/>
      <c r="F37" s="415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8"/>
      <c r="M37" s="392"/>
      <c r="N37" s="389"/>
      <c r="O37" s="392"/>
      <c r="P37" s="389"/>
      <c r="Q37" s="395"/>
      <c r="R37" s="398"/>
      <c r="S37" s="401"/>
    </row>
    <row r="38" spans="1:19" s="1" customFormat="1" ht="19.5" customHeight="1" x14ac:dyDescent="0.2">
      <c r="B38" s="404" t="s">
        <v>280</v>
      </c>
      <c r="C38" s="405"/>
      <c r="D38" s="136" t="s">
        <v>273</v>
      </c>
      <c r="E38" s="410">
        <v>0.8</v>
      </c>
      <c r="F38" s="413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10576</v>
      </c>
      <c r="J38" s="95">
        <f>SUM('Outputs Monthly'!N19:P19)</f>
        <v>0</v>
      </c>
      <c r="K38" s="96">
        <f>SUM(G38:J38)</f>
        <v>31669</v>
      </c>
      <c r="L38" s="416"/>
      <c r="M38" s="390"/>
      <c r="N38" s="387"/>
      <c r="O38" s="390"/>
      <c r="P38" s="387"/>
      <c r="Q38" s="393"/>
      <c r="R38" s="396"/>
      <c r="S38" s="399"/>
    </row>
    <row r="39" spans="1:19" s="1" customFormat="1" ht="19.5" customHeight="1" thickBot="1" x14ac:dyDescent="0.25">
      <c r="B39" s="406"/>
      <c r="C39" s="407"/>
      <c r="D39" s="135" t="s">
        <v>282</v>
      </c>
      <c r="E39" s="411"/>
      <c r="F39" s="414"/>
      <c r="G39" s="97">
        <v>10375</v>
      </c>
      <c r="H39" s="98">
        <v>9947</v>
      </c>
      <c r="I39" s="98">
        <v>9903</v>
      </c>
      <c r="J39" s="99"/>
      <c r="K39" s="100">
        <f>SUM(G39:J39)</f>
        <v>30225</v>
      </c>
      <c r="L39" s="417"/>
      <c r="M39" s="391"/>
      <c r="N39" s="388"/>
      <c r="O39" s="391"/>
      <c r="P39" s="388"/>
      <c r="Q39" s="394"/>
      <c r="R39" s="397"/>
      <c r="S39" s="400"/>
    </row>
    <row r="40" spans="1:19" s="1" customFormat="1" ht="19.5" customHeight="1" thickTop="1" thickBot="1" x14ac:dyDescent="0.25">
      <c r="B40" s="408"/>
      <c r="C40" s="409"/>
      <c r="D40" s="36" t="s">
        <v>247</v>
      </c>
      <c r="E40" s="412"/>
      <c r="F40" s="415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0.93640000000000001</v>
      </c>
      <c r="J40" s="103">
        <f t="shared" ref="J40" si="39">IF(J38=0,1,IFERROR(ROUND(J39/J38,4),0))</f>
        <v>1</v>
      </c>
      <c r="K40" s="104">
        <f t="shared" ref="K40" si="40">IF(K38=0,1,IFERROR(ROUND(K39/K38,4),0))</f>
        <v>0.95440000000000003</v>
      </c>
      <c r="L40" s="418"/>
      <c r="M40" s="392"/>
      <c r="N40" s="389"/>
      <c r="O40" s="392"/>
      <c r="P40" s="389"/>
      <c r="Q40" s="395"/>
      <c r="R40" s="402"/>
      <c r="S40" s="403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28" t="s">
        <v>283</v>
      </c>
      <c r="B43" s="428"/>
      <c r="C43" s="428"/>
      <c r="D43" s="428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29" t="s">
        <v>243</v>
      </c>
      <c r="F44" s="431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26" t="s">
        <v>266</v>
      </c>
      <c r="L44" s="419" t="str">
        <f t="shared" ref="L44:M44" si="41">TEXT(DATE(LEFT(RIGHT($A$2,9),4),10,1),"m/d/yy")&amp;" - "&amp;TEXT(DATE(LEFT(RIGHT($A$2,9),4),12,31),"m/d/yy")</f>
        <v>10/1/20 - 12/31/20</v>
      </c>
      <c r="M44" s="420" t="str">
        <f t="shared" si="41"/>
        <v>10/1/20 - 12/31/20</v>
      </c>
      <c r="N44" s="419" t="str">
        <f t="shared" ref="N44:O44" si="42">TEXT(DATE(RIGHT($A$2,4),1,1),"m/d/yy")&amp;" - "&amp;TEXT(DATE(RIGHT($A$2,4),3,31),"m/d/yy")</f>
        <v>1/1/21 - 3/31/21</v>
      </c>
      <c r="O44" s="420" t="str">
        <f t="shared" si="42"/>
        <v>1/1/21 - 3/31/21</v>
      </c>
      <c r="P44" s="419" t="str">
        <f t="shared" ref="P44:Q44" si="43">TEXT(DATE(RIGHT($A$2,4),4,1),"m/d/yy")&amp;" - "&amp;TEXT(DATE(RIGHT($A$2,4),6,30),"m/d/yy")</f>
        <v>4/1/21 - 6/30/21</v>
      </c>
      <c r="Q44" s="421" t="str">
        <f t="shared" si="43"/>
        <v>4/1/21 - 6/30/21</v>
      </c>
      <c r="R44" s="422" t="str">
        <f t="shared" ref="R44:S44" si="44">TEXT(DATE(RIGHT($A$2,4),7,1),"m/d/yy")&amp;" - "&amp;TEXT(DATE(RIGHT($A$2,4),9,30),"m/d/yy")</f>
        <v>7/1/21 - 9/30/21</v>
      </c>
      <c r="S44" s="423" t="str">
        <f t="shared" si="44"/>
        <v>7/1/21 - 9/30/21</v>
      </c>
    </row>
    <row r="45" spans="1:19" ht="15.75" customHeight="1" thickBot="1" x14ac:dyDescent="0.25">
      <c r="B45" s="26"/>
      <c r="C45" s="424"/>
      <c r="D45" s="425"/>
      <c r="E45" s="430"/>
      <c r="F45" s="432"/>
      <c r="G45" s="269" t="s">
        <v>262</v>
      </c>
      <c r="H45" s="270" t="s">
        <v>263</v>
      </c>
      <c r="I45" s="270" t="s">
        <v>264</v>
      </c>
      <c r="J45" s="271" t="s">
        <v>265</v>
      </c>
      <c r="K45" s="427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404" t="s">
        <v>267</v>
      </c>
      <c r="C46" s="405"/>
      <c r="D46" s="136" t="s">
        <v>255</v>
      </c>
      <c r="E46" s="410">
        <v>0.8</v>
      </c>
      <c r="F46" s="413" t="s">
        <v>270</v>
      </c>
      <c r="G46" s="45">
        <v>80674</v>
      </c>
      <c r="H46" s="46">
        <v>86224</v>
      </c>
      <c r="I46" s="46">
        <v>89193</v>
      </c>
      <c r="J46" s="47"/>
      <c r="K46" s="35">
        <f>SUM(G46:J46)</f>
        <v>256091</v>
      </c>
      <c r="L46" s="416"/>
      <c r="M46" s="390"/>
      <c r="N46" s="387"/>
      <c r="O46" s="390"/>
      <c r="P46" s="387"/>
      <c r="Q46" s="393"/>
      <c r="R46" s="396"/>
      <c r="S46" s="399"/>
    </row>
    <row r="47" spans="1:19" ht="16.5" thickBot="1" x14ac:dyDescent="0.25">
      <c r="B47" s="406"/>
      <c r="C47" s="407"/>
      <c r="D47" s="135" t="s">
        <v>274</v>
      </c>
      <c r="E47" s="411"/>
      <c r="F47" s="414"/>
      <c r="G47" s="42">
        <v>80452</v>
      </c>
      <c r="H47" s="43">
        <v>85427</v>
      </c>
      <c r="I47" s="43">
        <v>88901</v>
      </c>
      <c r="J47" s="44"/>
      <c r="K47" s="37">
        <f>SUM(G47:J47)</f>
        <v>254780</v>
      </c>
      <c r="L47" s="417"/>
      <c r="M47" s="391"/>
      <c r="N47" s="388"/>
      <c r="O47" s="391"/>
      <c r="P47" s="388"/>
      <c r="Q47" s="394"/>
      <c r="R47" s="397"/>
      <c r="S47" s="400"/>
    </row>
    <row r="48" spans="1:19" ht="17.25" thickTop="1" thickBot="1" x14ac:dyDescent="0.25">
      <c r="B48" s="408"/>
      <c r="C48" s="409"/>
      <c r="D48" s="36" t="s">
        <v>247</v>
      </c>
      <c r="E48" s="412"/>
      <c r="F48" s="415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0.99670000000000003</v>
      </c>
      <c r="J48" s="40">
        <f t="shared" ref="J48" si="47">IF(J46=0,1,IFERROR(ROUND(J47/J46,4),0))</f>
        <v>1</v>
      </c>
      <c r="K48" s="41">
        <f t="shared" ref="K48" si="48">IF(K46=0,1,IFERROR(ROUND(K47/K46,4),0))</f>
        <v>0.99490000000000001</v>
      </c>
      <c r="L48" s="418"/>
      <c r="M48" s="392"/>
      <c r="N48" s="389"/>
      <c r="O48" s="392"/>
      <c r="P48" s="389"/>
      <c r="Q48" s="395"/>
      <c r="R48" s="398"/>
      <c r="S48" s="401"/>
    </row>
    <row r="49" spans="1:19" x14ac:dyDescent="0.2">
      <c r="A49" s="1"/>
      <c r="B49" s="404" t="s">
        <v>271</v>
      </c>
      <c r="C49" s="405"/>
      <c r="D49" s="136" t="s">
        <v>255</v>
      </c>
      <c r="E49" s="410">
        <v>0.8</v>
      </c>
      <c r="F49" s="413" t="s">
        <v>270</v>
      </c>
      <c r="G49" s="45">
        <v>34806</v>
      </c>
      <c r="H49" s="46">
        <v>36067</v>
      </c>
      <c r="I49" s="46">
        <v>36291</v>
      </c>
      <c r="J49" s="47"/>
      <c r="K49" s="35">
        <f>SUM(G49:J49)</f>
        <v>107164</v>
      </c>
      <c r="L49" s="416"/>
      <c r="M49" s="390"/>
      <c r="N49" s="387"/>
      <c r="O49" s="390"/>
      <c r="P49" s="387"/>
      <c r="Q49" s="393"/>
      <c r="R49" s="396"/>
      <c r="S49" s="399"/>
    </row>
    <row r="50" spans="1:19" ht="16.5" thickBot="1" x14ac:dyDescent="0.25">
      <c r="A50" s="1"/>
      <c r="B50" s="406"/>
      <c r="C50" s="407"/>
      <c r="D50" s="135" t="s">
        <v>274</v>
      </c>
      <c r="E50" s="411"/>
      <c r="F50" s="414"/>
      <c r="G50" s="42">
        <v>34745</v>
      </c>
      <c r="H50" s="43">
        <v>35903</v>
      </c>
      <c r="I50" s="43">
        <v>36167</v>
      </c>
      <c r="J50" s="44"/>
      <c r="K50" s="37">
        <f>SUM(G50:J50)</f>
        <v>106815</v>
      </c>
      <c r="L50" s="417"/>
      <c r="M50" s="391"/>
      <c r="N50" s="388"/>
      <c r="O50" s="391"/>
      <c r="P50" s="388"/>
      <c r="Q50" s="394"/>
      <c r="R50" s="397"/>
      <c r="S50" s="400"/>
    </row>
    <row r="51" spans="1:19" ht="17.25" thickTop="1" thickBot="1" x14ac:dyDescent="0.25">
      <c r="A51" s="1"/>
      <c r="B51" s="408"/>
      <c r="C51" s="409"/>
      <c r="D51" s="36" t="s">
        <v>247</v>
      </c>
      <c r="E51" s="412"/>
      <c r="F51" s="415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0.99660000000000004</v>
      </c>
      <c r="J51" s="40">
        <f t="shared" ref="J51" si="51">IF(J49=0,1,IFERROR(ROUND(J50/J49,4),0))</f>
        <v>1</v>
      </c>
      <c r="K51" s="41">
        <f t="shared" ref="K51" si="52">IF(K49=0,1,IFERROR(ROUND(K50/K49,4),0))</f>
        <v>0.99670000000000003</v>
      </c>
      <c r="L51" s="418"/>
      <c r="M51" s="392"/>
      <c r="N51" s="389"/>
      <c r="O51" s="392"/>
      <c r="P51" s="389"/>
      <c r="Q51" s="395"/>
      <c r="R51" s="398"/>
      <c r="S51" s="401"/>
    </row>
    <row r="52" spans="1:19" x14ac:dyDescent="0.2">
      <c r="A52" s="1"/>
      <c r="B52" s="404" t="s">
        <v>256</v>
      </c>
      <c r="C52" s="405"/>
      <c r="D52" s="136" t="s">
        <v>255</v>
      </c>
      <c r="E52" s="410">
        <v>0.8</v>
      </c>
      <c r="F52" s="413" t="s">
        <v>270</v>
      </c>
      <c r="G52" s="45">
        <v>7786</v>
      </c>
      <c r="H52" s="46">
        <v>7694</v>
      </c>
      <c r="I52" s="46">
        <v>7405</v>
      </c>
      <c r="J52" s="47"/>
      <c r="K52" s="35">
        <f>SUM(G52:J52)</f>
        <v>22885</v>
      </c>
      <c r="L52" s="416"/>
      <c r="M52" s="390"/>
      <c r="N52" s="387"/>
      <c r="O52" s="390"/>
      <c r="P52" s="387"/>
      <c r="Q52" s="393"/>
      <c r="R52" s="396"/>
      <c r="S52" s="399"/>
    </row>
    <row r="53" spans="1:19" ht="16.5" thickBot="1" x14ac:dyDescent="0.25">
      <c r="A53" s="1"/>
      <c r="B53" s="406"/>
      <c r="C53" s="407"/>
      <c r="D53" s="135" t="s">
        <v>274</v>
      </c>
      <c r="E53" s="411"/>
      <c r="F53" s="414"/>
      <c r="G53" s="42">
        <v>7771</v>
      </c>
      <c r="H53" s="43">
        <v>7666</v>
      </c>
      <c r="I53" s="43">
        <v>7399</v>
      </c>
      <c r="J53" s="44"/>
      <c r="K53" s="37">
        <f>SUM(G53:J53)</f>
        <v>22836</v>
      </c>
      <c r="L53" s="417"/>
      <c r="M53" s="391"/>
      <c r="N53" s="388"/>
      <c r="O53" s="391"/>
      <c r="P53" s="388"/>
      <c r="Q53" s="394"/>
      <c r="R53" s="397"/>
      <c r="S53" s="400"/>
    </row>
    <row r="54" spans="1:19" ht="17.25" thickTop="1" thickBot="1" x14ac:dyDescent="0.25">
      <c r="A54" s="1"/>
      <c r="B54" s="408"/>
      <c r="C54" s="409"/>
      <c r="D54" s="36" t="s">
        <v>247</v>
      </c>
      <c r="E54" s="412"/>
      <c r="F54" s="415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0.99919999999999998</v>
      </c>
      <c r="J54" s="40">
        <f t="shared" ref="J54" si="55">IF(J52=0,1,IFERROR(ROUND(J53/J52,4),0))</f>
        <v>1</v>
      </c>
      <c r="K54" s="41">
        <f t="shared" ref="K54" si="56">IF(K52=0,1,IFERROR(ROUND(K53/K52,4),0))</f>
        <v>0.99790000000000001</v>
      </c>
      <c r="L54" s="418"/>
      <c r="M54" s="392"/>
      <c r="N54" s="389"/>
      <c r="O54" s="392"/>
      <c r="P54" s="389"/>
      <c r="Q54" s="395"/>
      <c r="R54" s="398"/>
      <c r="S54" s="401"/>
    </row>
    <row r="55" spans="1:19" x14ac:dyDescent="0.2">
      <c r="A55" s="1"/>
      <c r="B55" s="404" t="s">
        <v>272</v>
      </c>
      <c r="C55" s="405"/>
      <c r="D55" s="136" t="s">
        <v>255</v>
      </c>
      <c r="E55" s="410">
        <v>0.8</v>
      </c>
      <c r="F55" s="413" t="s">
        <v>270</v>
      </c>
      <c r="G55" s="45">
        <v>16335</v>
      </c>
      <c r="H55" s="46">
        <v>16577</v>
      </c>
      <c r="I55" s="46">
        <v>16709</v>
      </c>
      <c r="J55" s="47"/>
      <c r="K55" s="35">
        <f>SUM(G55:J55)</f>
        <v>49621</v>
      </c>
      <c r="L55" s="416"/>
      <c r="M55" s="390"/>
      <c r="N55" s="387"/>
      <c r="O55" s="390"/>
      <c r="P55" s="387"/>
      <c r="Q55" s="393"/>
      <c r="R55" s="396"/>
      <c r="S55" s="399"/>
    </row>
    <row r="56" spans="1:19" ht="16.5" thickBot="1" x14ac:dyDescent="0.25">
      <c r="A56" s="1"/>
      <c r="B56" s="406"/>
      <c r="C56" s="407"/>
      <c r="D56" s="135" t="s">
        <v>274</v>
      </c>
      <c r="E56" s="411"/>
      <c r="F56" s="414"/>
      <c r="G56" s="42">
        <v>16090</v>
      </c>
      <c r="H56" s="43">
        <v>16092</v>
      </c>
      <c r="I56" s="43">
        <v>16213</v>
      </c>
      <c r="J56" s="44"/>
      <c r="K56" s="37">
        <f>SUM(G56:J56)</f>
        <v>48395</v>
      </c>
      <c r="L56" s="417"/>
      <c r="M56" s="391"/>
      <c r="N56" s="388"/>
      <c r="O56" s="391"/>
      <c r="P56" s="388"/>
      <c r="Q56" s="394"/>
      <c r="R56" s="397"/>
      <c r="S56" s="400"/>
    </row>
    <row r="57" spans="1:19" ht="17.25" thickTop="1" thickBot="1" x14ac:dyDescent="0.25">
      <c r="A57" s="1"/>
      <c r="B57" s="408"/>
      <c r="C57" s="409"/>
      <c r="D57" s="36" t="s">
        <v>247</v>
      </c>
      <c r="E57" s="412"/>
      <c r="F57" s="415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0.97030000000000005</v>
      </c>
      <c r="J57" s="40">
        <f t="shared" ref="J57" si="59">IF(J55=0,1,IFERROR(ROUND(J56/J55,4),0))</f>
        <v>1</v>
      </c>
      <c r="K57" s="41">
        <f t="shared" ref="K57" si="60">IF(K55=0,1,IFERROR(ROUND(K56/K55,4),0))</f>
        <v>0.97529999999999994</v>
      </c>
      <c r="L57" s="418"/>
      <c r="M57" s="392"/>
      <c r="N57" s="389"/>
      <c r="O57" s="392"/>
      <c r="P57" s="389"/>
      <c r="Q57" s="395"/>
      <c r="R57" s="398"/>
      <c r="S57" s="401"/>
    </row>
    <row r="58" spans="1:19" ht="15.75" customHeight="1" x14ac:dyDescent="0.2">
      <c r="A58" s="1"/>
      <c r="B58" s="404" t="s">
        <v>275</v>
      </c>
      <c r="C58" s="405"/>
      <c r="D58" s="136" t="s">
        <v>255</v>
      </c>
      <c r="E58" s="410">
        <v>0.8</v>
      </c>
      <c r="F58" s="413" t="s">
        <v>270</v>
      </c>
      <c r="G58" s="45">
        <v>44204</v>
      </c>
      <c r="H58" s="46">
        <v>50520</v>
      </c>
      <c r="I58" s="46">
        <v>51976</v>
      </c>
      <c r="J58" s="47"/>
      <c r="K58" s="35">
        <f>SUM(G58:J58)</f>
        <v>146700</v>
      </c>
      <c r="L58" s="416" t="s">
        <v>246</v>
      </c>
      <c r="M58" s="390" t="s">
        <v>434</v>
      </c>
      <c r="N58" s="387" t="s">
        <v>246</v>
      </c>
      <c r="O58" s="390" t="s">
        <v>436</v>
      </c>
      <c r="P58" s="387" t="s">
        <v>246</v>
      </c>
      <c r="Q58" s="393" t="s">
        <v>437</v>
      </c>
      <c r="R58" s="396"/>
      <c r="S58" s="399"/>
    </row>
    <row r="59" spans="1:19" ht="16.5" thickBot="1" x14ac:dyDescent="0.25">
      <c r="A59" s="1"/>
      <c r="B59" s="406"/>
      <c r="C59" s="407"/>
      <c r="D59" s="135" t="s">
        <v>274</v>
      </c>
      <c r="E59" s="411"/>
      <c r="F59" s="414"/>
      <c r="G59" s="42">
        <v>29515</v>
      </c>
      <c r="H59" s="43">
        <v>25167</v>
      </c>
      <c r="I59" s="43">
        <v>17031</v>
      </c>
      <c r="J59" s="44"/>
      <c r="K59" s="37">
        <f>SUM(G59:J59)</f>
        <v>71713</v>
      </c>
      <c r="L59" s="417"/>
      <c r="M59" s="391"/>
      <c r="N59" s="388"/>
      <c r="O59" s="391"/>
      <c r="P59" s="388"/>
      <c r="Q59" s="394"/>
      <c r="R59" s="397"/>
      <c r="S59" s="400"/>
    </row>
    <row r="60" spans="1:19" ht="17.25" thickTop="1" thickBot="1" x14ac:dyDescent="0.25">
      <c r="A60" s="1"/>
      <c r="B60" s="408"/>
      <c r="C60" s="409"/>
      <c r="D60" s="36" t="s">
        <v>247</v>
      </c>
      <c r="E60" s="412"/>
      <c r="F60" s="415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0.32769999999999999</v>
      </c>
      <c r="J60" s="40">
        <f t="shared" ref="J60" si="63">IF(J58=0,1,IFERROR(ROUND(J59/J58,4),0))</f>
        <v>1</v>
      </c>
      <c r="K60" s="41">
        <f t="shared" ref="K60" si="64">IF(K58=0,1,IFERROR(ROUND(K59/K58,4),0))</f>
        <v>0.48880000000000001</v>
      </c>
      <c r="L60" s="418"/>
      <c r="M60" s="392"/>
      <c r="N60" s="389"/>
      <c r="O60" s="392"/>
      <c r="P60" s="389"/>
      <c r="Q60" s="395"/>
      <c r="R60" s="398"/>
      <c r="S60" s="401"/>
    </row>
    <row r="61" spans="1:19" ht="15.75" customHeight="1" x14ac:dyDescent="0.2">
      <c r="A61" s="1"/>
      <c r="B61" s="404" t="s">
        <v>276</v>
      </c>
      <c r="C61" s="405"/>
      <c r="D61" s="136" t="s">
        <v>255</v>
      </c>
      <c r="E61" s="410">
        <v>0.8</v>
      </c>
      <c r="F61" s="413" t="s">
        <v>270</v>
      </c>
      <c r="G61" s="45">
        <v>32079</v>
      </c>
      <c r="H61" s="46">
        <v>33327</v>
      </c>
      <c r="I61" s="46">
        <v>43670</v>
      </c>
      <c r="J61" s="47"/>
      <c r="K61" s="35">
        <f>SUM(G61:J61)</f>
        <v>109076</v>
      </c>
      <c r="L61" s="416" t="s">
        <v>246</v>
      </c>
      <c r="M61" s="390" t="s">
        <v>434</v>
      </c>
      <c r="N61" s="387" t="s">
        <v>246</v>
      </c>
      <c r="O61" s="390" t="s">
        <v>436</v>
      </c>
      <c r="P61" s="387" t="s">
        <v>246</v>
      </c>
      <c r="Q61" s="393" t="s">
        <v>437</v>
      </c>
      <c r="R61" s="396"/>
      <c r="S61" s="399"/>
    </row>
    <row r="62" spans="1:19" ht="16.5" thickBot="1" x14ac:dyDescent="0.25">
      <c r="A62" s="1"/>
      <c r="B62" s="406"/>
      <c r="C62" s="407"/>
      <c r="D62" s="135" t="s">
        <v>274</v>
      </c>
      <c r="E62" s="411"/>
      <c r="F62" s="414"/>
      <c r="G62" s="42">
        <v>23275</v>
      </c>
      <c r="H62" s="43">
        <v>18312</v>
      </c>
      <c r="I62" s="43">
        <v>20404</v>
      </c>
      <c r="J62" s="44"/>
      <c r="K62" s="37">
        <f>SUM(G62:J62)</f>
        <v>61991</v>
      </c>
      <c r="L62" s="417"/>
      <c r="M62" s="391"/>
      <c r="N62" s="388"/>
      <c r="O62" s="391"/>
      <c r="P62" s="388"/>
      <c r="Q62" s="394"/>
      <c r="R62" s="397"/>
      <c r="S62" s="400"/>
    </row>
    <row r="63" spans="1:19" ht="17.25" thickTop="1" thickBot="1" x14ac:dyDescent="0.25">
      <c r="A63" s="1"/>
      <c r="B63" s="408"/>
      <c r="C63" s="409"/>
      <c r="D63" s="36" t="s">
        <v>247</v>
      </c>
      <c r="E63" s="412"/>
      <c r="F63" s="415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0.4672</v>
      </c>
      <c r="J63" s="40">
        <f t="shared" ref="J63" si="67">IF(J61=0,1,IFERROR(ROUND(J62/J61,4),0))</f>
        <v>1</v>
      </c>
      <c r="K63" s="41">
        <f t="shared" ref="K63" si="68">IF(K61=0,1,IFERROR(ROUND(K62/K61,4),0))</f>
        <v>0.56830000000000003</v>
      </c>
      <c r="L63" s="418"/>
      <c r="M63" s="392"/>
      <c r="N63" s="389"/>
      <c r="O63" s="392"/>
      <c r="P63" s="389"/>
      <c r="Q63" s="395"/>
      <c r="R63" s="398"/>
      <c r="S63" s="401"/>
    </row>
    <row r="64" spans="1:19" x14ac:dyDescent="0.2">
      <c r="A64" s="1"/>
      <c r="B64" s="404" t="s">
        <v>277</v>
      </c>
      <c r="C64" s="405"/>
      <c r="D64" s="136" t="s">
        <v>255</v>
      </c>
      <c r="E64" s="410">
        <v>0.8</v>
      </c>
      <c r="F64" s="413" t="s">
        <v>270</v>
      </c>
      <c r="G64" s="45">
        <v>22308</v>
      </c>
      <c r="H64" s="46">
        <v>23930</v>
      </c>
      <c r="I64" s="46">
        <v>25357</v>
      </c>
      <c r="J64" s="47"/>
      <c r="K64" s="35">
        <f>SUM(G64:J64)</f>
        <v>71595</v>
      </c>
      <c r="L64" s="416" t="s">
        <v>246</v>
      </c>
      <c r="M64" s="390" t="s">
        <v>435</v>
      </c>
      <c r="N64" s="387"/>
      <c r="O64" s="390"/>
      <c r="P64" s="387"/>
      <c r="Q64" s="393"/>
      <c r="R64" s="396"/>
      <c r="S64" s="399"/>
    </row>
    <row r="65" spans="1:19" ht="16.5" thickBot="1" x14ac:dyDescent="0.25">
      <c r="A65" s="1"/>
      <c r="B65" s="406"/>
      <c r="C65" s="407"/>
      <c r="D65" s="135" t="s">
        <v>274</v>
      </c>
      <c r="E65" s="411"/>
      <c r="F65" s="414"/>
      <c r="G65" s="42">
        <v>13874</v>
      </c>
      <c r="H65" s="43">
        <v>20513</v>
      </c>
      <c r="I65" s="43">
        <v>24892</v>
      </c>
      <c r="J65" s="44"/>
      <c r="K65" s="37">
        <f>SUM(G65:J65)</f>
        <v>59279</v>
      </c>
      <c r="L65" s="417"/>
      <c r="M65" s="391"/>
      <c r="N65" s="388"/>
      <c r="O65" s="391"/>
      <c r="P65" s="388"/>
      <c r="Q65" s="394"/>
      <c r="R65" s="397"/>
      <c r="S65" s="400"/>
    </row>
    <row r="66" spans="1:19" ht="17.25" thickTop="1" thickBot="1" x14ac:dyDescent="0.25">
      <c r="A66" s="1"/>
      <c r="B66" s="408"/>
      <c r="C66" s="409"/>
      <c r="D66" s="36" t="s">
        <v>247</v>
      </c>
      <c r="E66" s="412"/>
      <c r="F66" s="415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0.98170000000000002</v>
      </c>
      <c r="J66" s="40">
        <f t="shared" ref="J66" si="71">IF(J64=0,1,IFERROR(ROUND(J65/J64,4),0))</f>
        <v>1</v>
      </c>
      <c r="K66" s="41">
        <f t="shared" ref="K66" si="72">IF(K64=0,1,IFERROR(ROUND(K65/K64,4),0))</f>
        <v>0.82799999999999996</v>
      </c>
      <c r="L66" s="418"/>
      <c r="M66" s="392"/>
      <c r="N66" s="389"/>
      <c r="O66" s="392"/>
      <c r="P66" s="389"/>
      <c r="Q66" s="395"/>
      <c r="R66" s="398"/>
      <c r="S66" s="401"/>
    </row>
    <row r="67" spans="1:19" ht="15.75" customHeight="1" x14ac:dyDescent="0.2">
      <c r="A67" s="1"/>
      <c r="B67" s="404" t="s">
        <v>278</v>
      </c>
      <c r="C67" s="405"/>
      <c r="D67" s="136" t="s">
        <v>255</v>
      </c>
      <c r="E67" s="410">
        <v>0.8</v>
      </c>
      <c r="F67" s="413" t="s">
        <v>270</v>
      </c>
      <c r="G67" s="45">
        <v>36250</v>
      </c>
      <c r="H67" s="46">
        <v>37919</v>
      </c>
      <c r="I67" s="46">
        <v>39184</v>
      </c>
      <c r="J67" s="47"/>
      <c r="K67" s="35">
        <f>SUM(G67:J67)</f>
        <v>113353</v>
      </c>
      <c r="L67" s="416"/>
      <c r="M67" s="390"/>
      <c r="N67" s="387" t="s">
        <v>246</v>
      </c>
      <c r="O67" s="390" t="s">
        <v>436</v>
      </c>
      <c r="P67" s="387"/>
      <c r="Q67" s="393"/>
      <c r="R67" s="396"/>
      <c r="S67" s="399"/>
    </row>
    <row r="68" spans="1:19" ht="16.5" thickBot="1" x14ac:dyDescent="0.25">
      <c r="A68" s="1"/>
      <c r="B68" s="406"/>
      <c r="C68" s="407"/>
      <c r="D68" s="135" t="s">
        <v>274</v>
      </c>
      <c r="E68" s="411"/>
      <c r="F68" s="414"/>
      <c r="G68" s="42">
        <v>30668</v>
      </c>
      <c r="H68" s="43">
        <v>30295</v>
      </c>
      <c r="I68" s="43">
        <v>36671</v>
      </c>
      <c r="J68" s="44"/>
      <c r="K68" s="37">
        <f>SUM(G68:J68)</f>
        <v>97634</v>
      </c>
      <c r="L68" s="417"/>
      <c r="M68" s="391"/>
      <c r="N68" s="388"/>
      <c r="O68" s="391"/>
      <c r="P68" s="388"/>
      <c r="Q68" s="394"/>
      <c r="R68" s="397"/>
      <c r="S68" s="400"/>
    </row>
    <row r="69" spans="1:19" ht="17.25" thickTop="1" thickBot="1" x14ac:dyDescent="0.25">
      <c r="A69" s="1"/>
      <c r="B69" s="408"/>
      <c r="C69" s="409"/>
      <c r="D69" s="36" t="s">
        <v>247</v>
      </c>
      <c r="E69" s="412"/>
      <c r="F69" s="415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0.93589999999999995</v>
      </c>
      <c r="J69" s="40">
        <f t="shared" ref="J69" si="75">IF(J67=0,1,IFERROR(ROUND(J68/J67,4),0))</f>
        <v>1</v>
      </c>
      <c r="K69" s="41">
        <f t="shared" ref="K69" si="76">IF(K67=0,1,IFERROR(ROUND(K68/K67,4),0))</f>
        <v>0.86129999999999995</v>
      </c>
      <c r="L69" s="418"/>
      <c r="M69" s="392"/>
      <c r="N69" s="389"/>
      <c r="O69" s="392"/>
      <c r="P69" s="389"/>
      <c r="Q69" s="395"/>
      <c r="R69" s="398"/>
      <c r="S69" s="401"/>
    </row>
    <row r="70" spans="1:19" x14ac:dyDescent="0.2">
      <c r="A70" s="1"/>
      <c r="B70" s="404" t="s">
        <v>279</v>
      </c>
      <c r="C70" s="405"/>
      <c r="D70" s="136" t="s">
        <v>255</v>
      </c>
      <c r="E70" s="410">
        <v>0.8</v>
      </c>
      <c r="F70" s="413" t="s">
        <v>270</v>
      </c>
      <c r="G70" s="45">
        <v>875</v>
      </c>
      <c r="H70" s="46">
        <v>1016</v>
      </c>
      <c r="I70" s="46">
        <v>1015</v>
      </c>
      <c r="J70" s="47"/>
      <c r="K70" s="35">
        <f>SUM(G70:J70)</f>
        <v>2906</v>
      </c>
      <c r="L70" s="416"/>
      <c r="M70" s="390"/>
      <c r="N70" s="387"/>
      <c r="O70" s="390"/>
      <c r="P70" s="387"/>
      <c r="Q70" s="393"/>
      <c r="R70" s="396"/>
      <c r="S70" s="399"/>
    </row>
    <row r="71" spans="1:19" ht="16.5" thickBot="1" x14ac:dyDescent="0.25">
      <c r="A71" s="1"/>
      <c r="B71" s="406"/>
      <c r="C71" s="407"/>
      <c r="D71" s="135" t="s">
        <v>274</v>
      </c>
      <c r="E71" s="411"/>
      <c r="F71" s="414"/>
      <c r="G71" s="42">
        <v>867</v>
      </c>
      <c r="H71" s="43">
        <v>1013</v>
      </c>
      <c r="I71" s="43">
        <v>1015</v>
      </c>
      <c r="J71" s="44"/>
      <c r="K71" s="37">
        <f>SUM(G71:J71)</f>
        <v>2895</v>
      </c>
      <c r="L71" s="417"/>
      <c r="M71" s="391"/>
      <c r="N71" s="388"/>
      <c r="O71" s="391"/>
      <c r="P71" s="388"/>
      <c r="Q71" s="394"/>
      <c r="R71" s="397"/>
      <c r="S71" s="400"/>
    </row>
    <row r="72" spans="1:19" ht="17.25" thickTop="1" thickBot="1" x14ac:dyDescent="0.25">
      <c r="A72" s="1"/>
      <c r="B72" s="408"/>
      <c r="C72" s="409"/>
      <c r="D72" s="36" t="s">
        <v>247</v>
      </c>
      <c r="E72" s="412"/>
      <c r="F72" s="415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0.99619999999999997</v>
      </c>
      <c r="L72" s="418"/>
      <c r="M72" s="392"/>
      <c r="N72" s="389"/>
      <c r="O72" s="392"/>
      <c r="P72" s="389"/>
      <c r="Q72" s="395"/>
      <c r="R72" s="398"/>
      <c r="S72" s="401"/>
    </row>
    <row r="73" spans="1:19" x14ac:dyDescent="0.2">
      <c r="A73" s="1"/>
      <c r="B73" s="404" t="s">
        <v>280</v>
      </c>
      <c r="C73" s="405"/>
      <c r="D73" s="136" t="s">
        <v>255</v>
      </c>
      <c r="E73" s="410">
        <v>0.8</v>
      </c>
      <c r="F73" s="413" t="s">
        <v>281</v>
      </c>
      <c r="G73" s="45">
        <v>33720</v>
      </c>
      <c r="H73" s="46">
        <v>32197</v>
      </c>
      <c r="I73" s="46">
        <v>31373</v>
      </c>
      <c r="J73" s="47"/>
      <c r="K73" s="35">
        <f>SUM(G73:J73)</f>
        <v>97290</v>
      </c>
      <c r="L73" s="416"/>
      <c r="M73" s="390"/>
      <c r="N73" s="387"/>
      <c r="O73" s="390"/>
      <c r="P73" s="387"/>
      <c r="Q73" s="393"/>
      <c r="R73" s="396"/>
      <c r="S73" s="399"/>
    </row>
    <row r="74" spans="1:19" ht="16.5" thickBot="1" x14ac:dyDescent="0.25">
      <c r="A74" s="1"/>
      <c r="B74" s="406"/>
      <c r="C74" s="407"/>
      <c r="D74" s="135" t="s">
        <v>282</v>
      </c>
      <c r="E74" s="411"/>
      <c r="F74" s="414"/>
      <c r="G74" s="42">
        <v>33219</v>
      </c>
      <c r="H74" s="43">
        <v>31438</v>
      </c>
      <c r="I74" s="43">
        <v>30388</v>
      </c>
      <c r="J74" s="44"/>
      <c r="K74" s="37">
        <f>SUM(G74:J74)</f>
        <v>95045</v>
      </c>
      <c r="L74" s="417"/>
      <c r="M74" s="391"/>
      <c r="N74" s="388"/>
      <c r="O74" s="391"/>
      <c r="P74" s="388"/>
      <c r="Q74" s="394"/>
      <c r="R74" s="397"/>
      <c r="S74" s="400"/>
    </row>
    <row r="75" spans="1:19" ht="17.25" thickTop="1" thickBot="1" x14ac:dyDescent="0.25">
      <c r="A75" s="1"/>
      <c r="B75" s="408"/>
      <c r="C75" s="409"/>
      <c r="D75" s="36" t="s">
        <v>247</v>
      </c>
      <c r="E75" s="412"/>
      <c r="F75" s="415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0.96860000000000002</v>
      </c>
      <c r="J75" s="40">
        <f t="shared" ref="J75" si="83">IF(J73=0,1,IFERROR(ROUND(J74/J73,4),0))</f>
        <v>1</v>
      </c>
      <c r="K75" s="41">
        <f t="shared" ref="K75" si="84">IF(K73=0,1,IFERROR(ROUND(K74/K73,4),0))</f>
        <v>0.97689999999999999</v>
      </c>
      <c r="L75" s="418"/>
      <c r="M75" s="392"/>
      <c r="N75" s="389"/>
      <c r="O75" s="392"/>
      <c r="P75" s="389"/>
      <c r="Q75" s="395"/>
      <c r="R75" s="402"/>
      <c r="S75" s="403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91" priority="92">
      <formula>$G$13&lt;$E$11</formula>
    </cfRule>
  </conditionalFormatting>
  <conditionalFormatting sqref="N11:O13">
    <cfRule type="expression" dxfId="90" priority="91">
      <formula>$H$13&lt;$E$11</formula>
    </cfRule>
  </conditionalFormatting>
  <conditionalFormatting sqref="P11:Q13">
    <cfRule type="expression" dxfId="89" priority="90">
      <formula>$I$13&lt;$E$11</formula>
    </cfRule>
  </conditionalFormatting>
  <conditionalFormatting sqref="R11:S13">
    <cfRule type="expression" dxfId="88" priority="89">
      <formula>$J$13&lt;$E$11</formula>
    </cfRule>
  </conditionalFormatting>
  <conditionalFormatting sqref="L14:M16">
    <cfRule type="expression" dxfId="87" priority="88">
      <formula>$G$16&lt;$E$11</formula>
    </cfRule>
  </conditionalFormatting>
  <conditionalFormatting sqref="N14:O16">
    <cfRule type="expression" dxfId="86" priority="87">
      <formula>$H$16&lt;$E$11</formula>
    </cfRule>
  </conditionalFormatting>
  <conditionalFormatting sqref="P14:Q16">
    <cfRule type="expression" dxfId="85" priority="86">
      <formula>$I$16&lt;$E$11</formula>
    </cfRule>
  </conditionalFormatting>
  <conditionalFormatting sqref="R14:S16">
    <cfRule type="expression" dxfId="84" priority="85">
      <formula>$J$16&lt;$E$11</formula>
    </cfRule>
  </conditionalFormatting>
  <conditionalFormatting sqref="L17:M19">
    <cfRule type="expression" dxfId="83" priority="84">
      <formula>$G$19&lt;$E$11</formula>
    </cfRule>
  </conditionalFormatting>
  <conditionalFormatting sqref="N17:O19">
    <cfRule type="expression" dxfId="82" priority="83">
      <formula>$H$19&lt;$E$11</formula>
    </cfRule>
  </conditionalFormatting>
  <conditionalFormatting sqref="P17:Q19">
    <cfRule type="expression" dxfId="81" priority="82">
      <formula>$I$19&lt;$E$11</formula>
    </cfRule>
  </conditionalFormatting>
  <conditionalFormatting sqref="R17:S19">
    <cfRule type="expression" dxfId="80" priority="81">
      <formula>$J$19&lt;$E$11</formula>
    </cfRule>
  </conditionalFormatting>
  <conditionalFormatting sqref="L20:M22">
    <cfRule type="expression" dxfId="79" priority="80">
      <formula>$G$22&lt;$E$11</formula>
    </cfRule>
  </conditionalFormatting>
  <conditionalFormatting sqref="N20:O22">
    <cfRule type="expression" dxfId="78" priority="79">
      <formula>$H$22&lt;$E$11</formula>
    </cfRule>
  </conditionalFormatting>
  <conditionalFormatting sqref="P20:Q22">
    <cfRule type="expression" dxfId="77" priority="78">
      <formula>$I$22&lt;$E$11</formula>
    </cfRule>
  </conditionalFormatting>
  <conditionalFormatting sqref="R20:S22">
    <cfRule type="expression" dxfId="76" priority="77">
      <formula>$J$22&lt;$E$11</formula>
    </cfRule>
  </conditionalFormatting>
  <conditionalFormatting sqref="L23:M25">
    <cfRule type="expression" dxfId="75" priority="76">
      <formula>$G$25&lt;$E$11</formula>
    </cfRule>
  </conditionalFormatting>
  <conditionalFormatting sqref="N23:O25">
    <cfRule type="expression" dxfId="74" priority="75">
      <formula>$H$25&lt;$E$11</formula>
    </cfRule>
  </conditionalFormatting>
  <conditionalFormatting sqref="P23:Q25">
    <cfRule type="expression" dxfId="73" priority="74">
      <formula>$I$25&lt;$E$11</formula>
    </cfRule>
  </conditionalFormatting>
  <conditionalFormatting sqref="R23:S25">
    <cfRule type="expression" dxfId="72" priority="73">
      <formula>$J$25&lt;$E$11</formula>
    </cfRule>
  </conditionalFormatting>
  <conditionalFormatting sqref="L26:L28">
    <cfRule type="expression" dxfId="71" priority="72">
      <formula>$G$28&lt;$E$11</formula>
    </cfRule>
  </conditionalFormatting>
  <conditionalFormatting sqref="N26:N28">
    <cfRule type="expression" dxfId="70" priority="71">
      <formula>$H$28&lt;$E$11</formula>
    </cfRule>
  </conditionalFormatting>
  <conditionalFormatting sqref="P26:P28">
    <cfRule type="expression" dxfId="69" priority="70">
      <formula>$I$28&lt;$E$11</formula>
    </cfRule>
  </conditionalFormatting>
  <conditionalFormatting sqref="R26:S28">
    <cfRule type="expression" dxfId="68" priority="69">
      <formula>$J$28&lt;$E$11</formula>
    </cfRule>
  </conditionalFormatting>
  <conditionalFormatting sqref="L29:M31">
    <cfRule type="expression" dxfId="67" priority="68">
      <formula>$G$31&lt;$E$11</formula>
    </cfRule>
  </conditionalFormatting>
  <conditionalFormatting sqref="N29:O31">
    <cfRule type="expression" dxfId="66" priority="67">
      <formula>$H$31&lt;$E$11</formula>
    </cfRule>
  </conditionalFormatting>
  <conditionalFormatting sqref="P29:Q31">
    <cfRule type="expression" dxfId="65" priority="66">
      <formula>$I$31&lt;$E$11</formula>
    </cfRule>
  </conditionalFormatting>
  <conditionalFormatting sqref="R29:S31">
    <cfRule type="expression" dxfId="64" priority="65">
      <formula>$J$31&lt;$E$11</formula>
    </cfRule>
  </conditionalFormatting>
  <conditionalFormatting sqref="L32:M34">
    <cfRule type="expression" dxfId="63" priority="64">
      <formula>$G$34&lt;$E$11</formula>
    </cfRule>
  </conditionalFormatting>
  <conditionalFormatting sqref="N32:O34">
    <cfRule type="expression" dxfId="62" priority="63">
      <formula>$H$34&lt;$E$11</formula>
    </cfRule>
  </conditionalFormatting>
  <conditionalFormatting sqref="P32:Q34">
    <cfRule type="expression" dxfId="61" priority="62">
      <formula>$I$34&lt;$E$11</formula>
    </cfRule>
  </conditionalFormatting>
  <conditionalFormatting sqref="R32:S34">
    <cfRule type="expression" dxfId="60" priority="61">
      <formula>$J$34&lt;$E$11</formula>
    </cfRule>
  </conditionalFormatting>
  <conditionalFormatting sqref="L35:M37">
    <cfRule type="expression" dxfId="59" priority="60">
      <formula>$G$37&lt;$E$11</formula>
    </cfRule>
  </conditionalFormatting>
  <conditionalFormatting sqref="N35:O37">
    <cfRule type="expression" dxfId="58" priority="59">
      <formula>$H$37&lt;$E$11</formula>
    </cfRule>
  </conditionalFormatting>
  <conditionalFormatting sqref="P35:Q37">
    <cfRule type="expression" dxfId="57" priority="58">
      <formula>$I$37&lt;$E$11</formula>
    </cfRule>
  </conditionalFormatting>
  <conditionalFormatting sqref="R35:S37">
    <cfRule type="expression" dxfId="56" priority="57">
      <formula>$J$37&lt;$E$11</formula>
    </cfRule>
  </conditionalFormatting>
  <conditionalFormatting sqref="L38:M40">
    <cfRule type="expression" dxfId="55" priority="56">
      <formula>$G$40&lt;$E$11</formula>
    </cfRule>
  </conditionalFormatting>
  <conditionalFormatting sqref="N38:O40">
    <cfRule type="expression" dxfId="54" priority="55">
      <formula>$H$40&lt;$E$11</formula>
    </cfRule>
  </conditionalFormatting>
  <conditionalFormatting sqref="P38:Q40">
    <cfRule type="expression" dxfId="53" priority="54">
      <formula>$I$40&lt;$E$11</formula>
    </cfRule>
  </conditionalFormatting>
  <conditionalFormatting sqref="R38:S40">
    <cfRule type="expression" dxfId="52" priority="53">
      <formula>$J$40&lt;$E$11</formula>
    </cfRule>
  </conditionalFormatting>
  <conditionalFormatting sqref="L46:M48">
    <cfRule type="expression" dxfId="51" priority="52">
      <formula>$G$48&lt;$E$11</formula>
    </cfRule>
  </conditionalFormatting>
  <conditionalFormatting sqref="N46:O48">
    <cfRule type="expression" dxfId="50" priority="51">
      <formula>$H$48&lt;$E$11</formula>
    </cfRule>
  </conditionalFormatting>
  <conditionalFormatting sqref="P46:Q48">
    <cfRule type="expression" dxfId="49" priority="50">
      <formula>$I$48&lt;$E$11</formula>
    </cfRule>
  </conditionalFormatting>
  <conditionalFormatting sqref="R46:S48">
    <cfRule type="expression" dxfId="48" priority="49">
      <formula>$J$48&lt;$E$11</formula>
    </cfRule>
  </conditionalFormatting>
  <conditionalFormatting sqref="L49:M51">
    <cfRule type="expression" dxfId="47" priority="48">
      <formula>$G$51&lt;$E$11</formula>
    </cfRule>
  </conditionalFormatting>
  <conditionalFormatting sqref="N49:O51">
    <cfRule type="expression" dxfId="46" priority="47">
      <formula>$H$51&lt;$E$11</formula>
    </cfRule>
  </conditionalFormatting>
  <conditionalFormatting sqref="P49:Q51">
    <cfRule type="expression" dxfId="45" priority="46">
      <formula>$I$51&lt;$E$11</formula>
    </cfRule>
  </conditionalFormatting>
  <conditionalFormatting sqref="R49:S51">
    <cfRule type="expression" dxfId="44" priority="45">
      <formula>$J$51&lt;$E$11</formula>
    </cfRule>
  </conditionalFormatting>
  <conditionalFormatting sqref="L52:M54">
    <cfRule type="expression" dxfId="43" priority="44">
      <formula>$G$54&lt;$E$11</formula>
    </cfRule>
  </conditionalFormatting>
  <conditionalFormatting sqref="N52:O54">
    <cfRule type="expression" dxfId="42" priority="43">
      <formula>$H$54&lt;$E$11</formula>
    </cfRule>
  </conditionalFormatting>
  <conditionalFormatting sqref="P52:Q54">
    <cfRule type="expression" dxfId="41" priority="42">
      <formula>$I$54&lt;$E$11</formula>
    </cfRule>
  </conditionalFormatting>
  <conditionalFormatting sqref="R52:S54">
    <cfRule type="expression" dxfId="40" priority="41">
      <formula>$J$54&lt;$E$11</formula>
    </cfRule>
  </conditionalFormatting>
  <conditionalFormatting sqref="L55:M57">
    <cfRule type="expression" dxfId="39" priority="40">
      <formula>$G$57&lt;$E$11</formula>
    </cfRule>
  </conditionalFormatting>
  <conditionalFormatting sqref="N55:O57">
    <cfRule type="expression" dxfId="38" priority="39">
      <formula>$H$57&lt;$E$11</formula>
    </cfRule>
  </conditionalFormatting>
  <conditionalFormatting sqref="P55:Q57">
    <cfRule type="expression" dxfId="37" priority="38">
      <formula>$I$57&lt;$E$11</formula>
    </cfRule>
  </conditionalFormatting>
  <conditionalFormatting sqref="R55:S57">
    <cfRule type="expression" dxfId="36" priority="37">
      <formula>$J$57&lt;$E$11</formula>
    </cfRule>
  </conditionalFormatting>
  <conditionalFormatting sqref="L58:L60">
    <cfRule type="expression" dxfId="35" priority="36">
      <formula>$G$60&lt;$E$11</formula>
    </cfRule>
  </conditionalFormatting>
  <conditionalFormatting sqref="N58:N60">
    <cfRule type="expression" dxfId="34" priority="35">
      <formula>$H$60&lt;$E$11</formula>
    </cfRule>
  </conditionalFormatting>
  <conditionalFormatting sqref="P58:P60">
    <cfRule type="expression" dxfId="33" priority="34">
      <formula>$I$60&lt;$E$11</formula>
    </cfRule>
  </conditionalFormatting>
  <conditionalFormatting sqref="R58:S60">
    <cfRule type="expression" dxfId="32" priority="33">
      <formula>$J$60&lt;$E$11</formula>
    </cfRule>
  </conditionalFormatting>
  <conditionalFormatting sqref="L61:L63">
    <cfRule type="expression" dxfId="31" priority="32">
      <formula>$G$63&lt;$E$11</formula>
    </cfRule>
  </conditionalFormatting>
  <conditionalFormatting sqref="N61:N63">
    <cfRule type="expression" dxfId="30" priority="31">
      <formula>$H$63&lt;$E$11</formula>
    </cfRule>
  </conditionalFormatting>
  <conditionalFormatting sqref="P61:P63">
    <cfRule type="expression" dxfId="29" priority="30">
      <formula>$I$63&lt;$E$11</formula>
    </cfRule>
  </conditionalFormatting>
  <conditionalFormatting sqref="R61:S63">
    <cfRule type="expression" dxfId="28" priority="29">
      <formula>$J$63&lt;$E$11</formula>
    </cfRule>
  </conditionalFormatting>
  <conditionalFormatting sqref="L64:L66">
    <cfRule type="expression" dxfId="27" priority="28">
      <formula>$G$66&lt;$E$64</formula>
    </cfRule>
  </conditionalFormatting>
  <conditionalFormatting sqref="N64:O66">
    <cfRule type="expression" dxfId="26" priority="27">
      <formula>$H$66&lt;$E$64</formula>
    </cfRule>
  </conditionalFormatting>
  <conditionalFormatting sqref="P64:Q66">
    <cfRule type="expression" dxfId="25" priority="26">
      <formula>$I$66&lt;$E$64</formula>
    </cfRule>
  </conditionalFormatting>
  <conditionalFormatting sqref="R64:S66">
    <cfRule type="expression" dxfId="24" priority="25">
      <formula>$J$66&lt;$E$64</formula>
    </cfRule>
  </conditionalFormatting>
  <conditionalFormatting sqref="L67:M69">
    <cfRule type="expression" dxfId="23" priority="24">
      <formula>$G$69&lt;$E$67</formula>
    </cfRule>
  </conditionalFormatting>
  <conditionalFormatting sqref="N67:N69">
    <cfRule type="expression" dxfId="22" priority="23">
      <formula>$H$69&lt;$E$67</formula>
    </cfRule>
  </conditionalFormatting>
  <conditionalFormatting sqref="P67:Q69">
    <cfRule type="expression" dxfId="21" priority="22">
      <formula>$I$69&lt;$E$67</formula>
    </cfRule>
  </conditionalFormatting>
  <conditionalFormatting sqref="R67:S69">
    <cfRule type="expression" dxfId="20" priority="21">
      <formula>$J$69&lt;$E$67</formula>
    </cfRule>
  </conditionalFormatting>
  <conditionalFormatting sqref="L70:M72">
    <cfRule type="expression" dxfId="19" priority="20">
      <formula>$G$72&lt;$E$70</formula>
    </cfRule>
  </conditionalFormatting>
  <conditionalFormatting sqref="N70:O72">
    <cfRule type="expression" dxfId="18" priority="19">
      <formula>$H$72&lt;$E$70</formula>
    </cfRule>
  </conditionalFormatting>
  <conditionalFormatting sqref="P70:Q72">
    <cfRule type="expression" dxfId="17" priority="18">
      <formula>$I$72&lt;$E$70</formula>
    </cfRule>
  </conditionalFormatting>
  <conditionalFormatting sqref="R70:S72">
    <cfRule type="expression" dxfId="16" priority="17">
      <formula>$J$72&lt;$E$70</formula>
    </cfRule>
  </conditionalFormatting>
  <conditionalFormatting sqref="L73:M75">
    <cfRule type="expression" dxfId="15" priority="16">
      <formula>$G$75&lt;$E$73</formula>
    </cfRule>
  </conditionalFormatting>
  <conditionalFormatting sqref="N73:O75">
    <cfRule type="expression" dxfId="14" priority="15">
      <formula>$H$75&lt;$E$73</formula>
    </cfRule>
  </conditionalFormatting>
  <conditionalFormatting sqref="P73:Q75">
    <cfRule type="expression" dxfId="13" priority="14">
      <formula>$I$75&lt;$E$73</formula>
    </cfRule>
  </conditionalFormatting>
  <conditionalFormatting sqref="R73:S75">
    <cfRule type="expression" dxfId="12" priority="13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11" priority="12" operator="greaterThan">
      <formula>1</formula>
    </cfRule>
  </conditionalFormatting>
  <conditionalFormatting sqref="M26:M28">
    <cfRule type="expression" dxfId="10" priority="11">
      <formula>$G$25&lt;$E$11</formula>
    </cfRule>
  </conditionalFormatting>
  <conditionalFormatting sqref="M64:M66">
    <cfRule type="expression" dxfId="9" priority="10">
      <formula>$G$31&lt;$E$11</formula>
    </cfRule>
  </conditionalFormatting>
  <conditionalFormatting sqref="M58:M60">
    <cfRule type="expression" dxfId="8" priority="9">
      <formula>$G$25&lt;$E$11</formula>
    </cfRule>
  </conditionalFormatting>
  <conditionalFormatting sqref="M61:M63">
    <cfRule type="expression" dxfId="7" priority="8">
      <formula>$G$25&lt;$E$11</formula>
    </cfRule>
  </conditionalFormatting>
  <conditionalFormatting sqref="O26:O28">
    <cfRule type="expression" dxfId="6" priority="7">
      <formula>$H$25&lt;$E$11</formula>
    </cfRule>
  </conditionalFormatting>
  <conditionalFormatting sqref="O58:O60">
    <cfRule type="expression" dxfId="5" priority="6">
      <formula>$H$25&lt;$E$11</formula>
    </cfRule>
  </conditionalFormatting>
  <conditionalFormatting sqref="O61:O63">
    <cfRule type="expression" dxfId="4" priority="5">
      <formula>$H$25&lt;$E$11</formula>
    </cfRule>
  </conditionalFormatting>
  <conditionalFormatting sqref="O67:O69">
    <cfRule type="expression" dxfId="3" priority="4">
      <formula>$H$25&lt;$E$11</formula>
    </cfRule>
  </conditionalFormatting>
  <conditionalFormatting sqref="Q26:Q28">
    <cfRule type="expression" dxfId="2" priority="3">
      <formula>$I$25&lt;$E$11</formula>
    </cfRule>
  </conditionalFormatting>
  <conditionalFormatting sqref="Q58:Q60">
    <cfRule type="expression" dxfId="1" priority="2">
      <formula>$I$25&lt;$E$11</formula>
    </cfRule>
  </conditionalFormatting>
  <conditionalFormatting sqref="Q61:Q63">
    <cfRule type="expression" dxfId="0" priority="1">
      <formula>$I$25&lt;$E$11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73" t="s">
        <v>403</v>
      </c>
      <c r="B1" s="373"/>
      <c r="C1" s="373"/>
      <c r="D1" s="373"/>
      <c r="E1" s="373"/>
      <c r="F1" s="373"/>
    </row>
    <row r="2" spans="1:19" ht="24" customHeight="1" x14ac:dyDescent="0.2">
      <c r="A2" s="373" t="str">
        <f>'Sub Cases Monthly'!A2</f>
        <v>County Fiscal Year 2020-2021</v>
      </c>
      <c r="B2" s="373"/>
      <c r="C2" s="373"/>
      <c r="D2" s="373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82" t="str">
        <f>IF('Sub Cases Monthly'!D4="","",'Sub Cases Monthly'!D4)</f>
        <v>Brevard</v>
      </c>
      <c r="E4" s="382"/>
      <c r="F4" s="8"/>
      <c r="G4" s="107" t="s">
        <v>235</v>
      </c>
      <c r="H4" s="382" t="str">
        <f>IF('Sub Cases Monthly'!H4="","",'Sub Cases Monthly'!H4)</f>
        <v>June</v>
      </c>
      <c r="I4" s="382"/>
      <c r="K4" s="107" t="s">
        <v>3</v>
      </c>
      <c r="L4" s="106">
        <f>IF('Sub Cases Monthly'!L4="","",'Sub Cases Monthly'!L4)</f>
        <v>3</v>
      </c>
      <c r="N4" s="1"/>
      <c r="O4" s="1"/>
      <c r="Q4" s="345" t="str">
        <f>'Sub Cases Monthly'!Q4</f>
        <v>CCOC Form Version 1
Created 10/01/20</v>
      </c>
      <c r="R4" s="345"/>
    </row>
    <row r="5" spans="1:19" ht="24" customHeight="1" x14ac:dyDescent="0.3">
      <c r="A5" s="7"/>
      <c r="C5" s="107" t="s">
        <v>73</v>
      </c>
      <c r="D5" s="383" t="str">
        <f>IF('Sub Cases Monthly'!D5="","",'Sub Cases Monthly'!D5)</f>
        <v>Andrea Butler</v>
      </c>
      <c r="E5" s="383"/>
      <c r="F5" s="8"/>
      <c r="N5" s="9"/>
      <c r="Q5" s="345"/>
      <c r="R5" s="345"/>
    </row>
    <row r="6" spans="1:19" ht="24" customHeight="1" x14ac:dyDescent="0.3">
      <c r="A6" s="7"/>
      <c r="C6" s="107" t="s">
        <v>84</v>
      </c>
      <c r="D6" s="382" t="str">
        <f>IF('Sub Cases Monthly'!D6="","",'Sub Cases Monthly'!D6)</f>
        <v>andrea.butler@brevardclerk.us</v>
      </c>
      <c r="E6" s="382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1" t="s">
        <v>405</v>
      </c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3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8" t="str">
        <f>'Sub Cases Monthly'!B11:D11</f>
        <v>1Capital Murders</v>
      </c>
      <c r="C11" s="359"/>
      <c r="D11" s="360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40</v>
      </c>
      <c r="M11" s="109">
        <f>$R11*'Sub Cases Monthly'!M11</f>
        <v>40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230</v>
      </c>
      <c r="R11" s="311">
        <v>10</v>
      </c>
      <c r="S11" s="5"/>
    </row>
    <row r="12" spans="1:19" ht="20.100000000000001" customHeight="1" x14ac:dyDescent="0.2">
      <c r="B12" s="347" t="str">
        <f>'Sub Cases Monthly'!B12:D12</f>
        <v>1Non-Capital Murders</v>
      </c>
      <c r="C12" s="348"/>
      <c r="D12" s="349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27</v>
      </c>
      <c r="M12" s="112">
        <f>$R12*'Sub Cases Monthly'!M12</f>
        <v>9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180</v>
      </c>
      <c r="R12" s="312">
        <v>9</v>
      </c>
      <c r="S12" s="5"/>
    </row>
    <row r="13" spans="1:19" ht="20.100000000000001" customHeight="1" x14ac:dyDescent="0.2">
      <c r="B13" s="347" t="str">
        <f>'Sub Cases Monthly'!B13:D13</f>
        <v>1Sexual Offenses</v>
      </c>
      <c r="C13" s="348"/>
      <c r="D13" s="349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90</v>
      </c>
      <c r="L13" s="115">
        <f>$R13*'Sub Cases Monthly'!L13</f>
        <v>54</v>
      </c>
      <c r="M13" s="115">
        <f>$R13*'Sub Cases Monthly'!M13</f>
        <v>90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873</v>
      </c>
      <c r="R13" s="313">
        <v>9</v>
      </c>
      <c r="S13" s="5"/>
    </row>
    <row r="14" spans="1:19" ht="20.100000000000001" customHeight="1" x14ac:dyDescent="0.2">
      <c r="B14" s="347" t="str">
        <f>'Sub Cases Monthly'!B14:D14</f>
        <v>All Other Felonies (SRS)</v>
      </c>
      <c r="C14" s="348"/>
      <c r="D14" s="349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4488</v>
      </c>
      <c r="L14" s="112">
        <f>$R14*'Sub Cases Monthly'!L14</f>
        <v>4224</v>
      </c>
      <c r="M14" s="112">
        <f>$R14*'Sub Cases Monthly'!M14</f>
        <v>5152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39384</v>
      </c>
      <c r="R14" s="313">
        <v>8</v>
      </c>
      <c r="S14" s="5"/>
    </row>
    <row r="15" spans="1:19" ht="20.100000000000001" customHeight="1" x14ac:dyDescent="0.2">
      <c r="B15" s="347" t="str">
        <f>'Sub Cases Monthly'!B15:D15</f>
        <v>*Appeals (AP cases) from County to Circuit (SRS)</v>
      </c>
      <c r="C15" s="348"/>
      <c r="D15" s="349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7" t="str">
        <f>'Sub Cases Monthly'!B16:D16</f>
        <v>*Out of State Fugitive Warrants (Non-SRS)</v>
      </c>
      <c r="C16" s="348"/>
      <c r="D16" s="349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45</v>
      </c>
      <c r="L16" s="112">
        <f>$R16*'Sub Cases Monthly'!L16</f>
        <v>39</v>
      </c>
      <c r="M16" s="112">
        <f>$R16*'Sub Cases Monthly'!M16</f>
        <v>72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453</v>
      </c>
      <c r="R16" s="313">
        <v>3</v>
      </c>
      <c r="S16" s="5"/>
    </row>
    <row r="17" spans="1:19" ht="20.100000000000001" customHeight="1" x14ac:dyDescent="0.2">
      <c r="B17" s="364" t="str">
        <f>'Sub Cases Monthly'!B17:D17</f>
        <v>2Search Warrants (Non-SRS)</v>
      </c>
      <c r="C17" s="365"/>
      <c r="D17" s="366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52" t="str">
        <f>'Sub Cases Monthly'!B18:D18</f>
        <v>Cases unable to be categorized</v>
      </c>
      <c r="C18" s="353"/>
      <c r="D18" s="354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55" t="str">
        <f>'Sub Cases Monthly'!B19:D19</f>
        <v xml:space="preserve">Total Circuit Criminal = </v>
      </c>
      <c r="C19" s="356"/>
      <c r="D19" s="357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4623</v>
      </c>
      <c r="L19" s="73">
        <f t="shared" si="2"/>
        <v>4384</v>
      </c>
      <c r="M19" s="73">
        <f t="shared" si="2"/>
        <v>5363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41136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8" t="str">
        <f>'Sub Cases Monthly'!B22:D22</f>
        <v>Misdemeanors/Worthless Checks (SRS)</v>
      </c>
      <c r="C22" s="359"/>
      <c r="D22" s="360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2954</v>
      </c>
      <c r="L22" s="109">
        <f>$R22*'Sub Cases Monthly'!L22</f>
        <v>3528</v>
      </c>
      <c r="M22" s="109">
        <f>$R22*'Sub Cases Monthly'!M22</f>
        <v>3031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27692</v>
      </c>
      <c r="R22" s="317">
        <v>7</v>
      </c>
      <c r="S22" s="5"/>
    </row>
    <row r="23" spans="1:19" ht="20.100000000000001" customHeight="1" x14ac:dyDescent="0.2">
      <c r="B23" s="347" t="str">
        <f>'Sub Cases Monthly'!B23:D23</f>
        <v>County/Municipal Ordinances (SRS)</v>
      </c>
      <c r="C23" s="348"/>
      <c r="D23" s="349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40</v>
      </c>
      <c r="L23" s="112">
        <f>$R23*'Sub Cases Monthly'!L23</f>
        <v>70</v>
      </c>
      <c r="M23" s="112">
        <f>$R23*'Sub Cases Monthly'!M23</f>
        <v>55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485</v>
      </c>
      <c r="R23" s="318">
        <v>5</v>
      </c>
      <c r="S23" s="5"/>
    </row>
    <row r="24" spans="1:19" ht="20.100000000000001" customHeight="1" x14ac:dyDescent="0.2">
      <c r="B24" s="347" t="str">
        <f>'Sub Cases Monthly'!B24:D24</f>
        <v>Non-Criminal Infractions (SRS)</v>
      </c>
      <c r="C24" s="348"/>
      <c r="D24" s="349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567</v>
      </c>
      <c r="L24" s="115">
        <f>$R24*'Sub Cases Monthly'!L24</f>
        <v>621</v>
      </c>
      <c r="M24" s="115">
        <f>$R24*'Sub Cases Monthly'!M24</f>
        <v>732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4950</v>
      </c>
      <c r="R24" s="319">
        <v>3</v>
      </c>
      <c r="S24" s="5"/>
    </row>
    <row r="25" spans="1:19" ht="20.100000000000001" customHeight="1" x14ac:dyDescent="0.2">
      <c r="B25" s="347" t="str">
        <f>'Sub Cases Monthly'!B25:D25</f>
        <v>*Out of State Fugitive Warrants (Non-SRS)</v>
      </c>
      <c r="C25" s="348"/>
      <c r="D25" s="349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7" t="str">
        <f>'Sub Cases Monthly'!B26:D26</f>
        <v>2Search Warrants (Non-SRS)</v>
      </c>
      <c r="C26" s="348"/>
      <c r="D26" s="349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52" t="str">
        <f>'Sub Cases Monthly'!B27:D27</f>
        <v>Cases unable to be categorized</v>
      </c>
      <c r="C27" s="353"/>
      <c r="D27" s="354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55" t="str">
        <f>'Sub Cases Monthly'!B28:D28</f>
        <v>Total County Criminal =</v>
      </c>
      <c r="C28" s="356"/>
      <c r="D28" s="357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3561</v>
      </c>
      <c r="L28" s="73">
        <f t="shared" si="5"/>
        <v>4219</v>
      </c>
      <c r="M28" s="73">
        <f t="shared" si="5"/>
        <v>3818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33127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8" t="str">
        <f>'Sub Cases Monthly'!B31:D31</f>
        <v>Delinquency Complaints, Incl Xfers for Disposition (SRS)</v>
      </c>
      <c r="C31" s="359"/>
      <c r="D31" s="360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511</v>
      </c>
      <c r="L31" s="109">
        <f>$R31*'Sub Cases Monthly'!L31</f>
        <v>371</v>
      </c>
      <c r="M31" s="109">
        <f>$R31*'Sub Cases Monthly'!M31</f>
        <v>364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4074</v>
      </c>
      <c r="R31" s="317">
        <v>7</v>
      </c>
      <c r="S31" s="5"/>
    </row>
    <row r="32" spans="1:19" ht="20.100000000000001" customHeight="1" x14ac:dyDescent="0.2">
      <c r="B32" s="347" t="str">
        <f>'Sub Cases Monthly'!B32:D32</f>
        <v>*Non-criminal (1st offense) juvenile sexting cases</v>
      </c>
      <c r="C32" s="348"/>
      <c r="D32" s="349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6</v>
      </c>
      <c r="M32" s="112">
        <f>$R32*'Sub Cases Monthly'!M32</f>
        <v>3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18</v>
      </c>
      <c r="R32" s="321">
        <v>3</v>
      </c>
      <c r="S32" s="5"/>
    </row>
    <row r="33" spans="1:19" ht="20.100000000000001" customHeight="1" x14ac:dyDescent="0.2">
      <c r="B33" s="347" t="str">
        <f>'Sub Cases Monthly'!B33:D33</f>
        <v>Transfers for Jurisdiction/Supervision Only (Non-SRS)</v>
      </c>
      <c r="C33" s="348"/>
      <c r="D33" s="349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68</v>
      </c>
      <c r="L33" s="115">
        <f>$R33*'Sub Cases Monthly'!L33</f>
        <v>4</v>
      </c>
      <c r="M33" s="115">
        <f>$R33*'Sub Cases Monthly'!M33</f>
        <v>8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132</v>
      </c>
      <c r="R33" s="322">
        <v>4</v>
      </c>
      <c r="S33" s="5"/>
    </row>
    <row r="34" spans="1:19" ht="20.100000000000001" customHeight="1" thickBot="1" x14ac:dyDescent="0.25">
      <c r="B34" s="352" t="str">
        <f>'Sub Cases Monthly'!B34:D34</f>
        <v>Cases unable to be categorized</v>
      </c>
      <c r="C34" s="353"/>
      <c r="D34" s="354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55" t="str">
        <f>'Sub Cases Monthly'!B35:D35</f>
        <v xml:space="preserve">Total Juvenile Delinquency = </v>
      </c>
      <c r="C35" s="356"/>
      <c r="D35" s="357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579</v>
      </c>
      <c r="L35" s="73">
        <f t="shared" si="8"/>
        <v>381</v>
      </c>
      <c r="M35" s="73">
        <f t="shared" si="8"/>
        <v>375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4226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8" t="str">
        <f>'Sub Cases Monthly'!B38:D38</f>
        <v>DUI (SRS)</v>
      </c>
      <c r="C38" s="359"/>
      <c r="D38" s="360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1687</v>
      </c>
      <c r="L38" s="109">
        <f>$R38*'Sub Cases Monthly'!L38</f>
        <v>1484</v>
      </c>
      <c r="M38" s="109">
        <f>$R38*'Sub Cases Monthly'!M38</f>
        <v>1680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14371</v>
      </c>
      <c r="R38" s="317">
        <v>7</v>
      </c>
      <c r="S38" s="5"/>
    </row>
    <row r="39" spans="1:19" ht="20.100000000000001" customHeight="1" x14ac:dyDescent="0.2">
      <c r="B39" s="347" t="str">
        <f>'Sub Cases Monthly'!B39:D39</f>
        <v>Other Criminal Traffic (SRS)</v>
      </c>
      <c r="C39" s="348"/>
      <c r="D39" s="349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3852</v>
      </c>
      <c r="L39" s="112">
        <f>$R39*'Sub Cases Monthly'!L39</f>
        <v>3612</v>
      </c>
      <c r="M39" s="112">
        <f>$R39*'Sub Cases Monthly'!M39</f>
        <v>3954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34860</v>
      </c>
      <c r="R39" s="318">
        <v>6</v>
      </c>
      <c r="S39" s="5"/>
    </row>
    <row r="40" spans="1:19" ht="20.100000000000001" customHeight="1" thickBot="1" x14ac:dyDescent="0.25">
      <c r="B40" s="352" t="str">
        <f>'Sub Cases Monthly'!B40:D40</f>
        <v>Cases unable to be categorized</v>
      </c>
      <c r="C40" s="353"/>
      <c r="D40" s="354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1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1</v>
      </c>
      <c r="R40" s="323">
        <v>1</v>
      </c>
      <c r="S40" s="5"/>
    </row>
    <row r="41" spans="1:19" s="17" customFormat="1" ht="20.100000000000001" customHeight="1" thickTop="1" thickBot="1" x14ac:dyDescent="0.3">
      <c r="B41" s="355" t="str">
        <f>'Sub Cases Monthly'!B41:D41</f>
        <v xml:space="preserve">Total Criminal Traffic - UTCs = </v>
      </c>
      <c r="C41" s="356"/>
      <c r="D41" s="357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5539</v>
      </c>
      <c r="L41" s="73">
        <f t="shared" si="11"/>
        <v>5097</v>
      </c>
      <c r="M41" s="73">
        <f t="shared" si="11"/>
        <v>5634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49232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8" t="str">
        <f>'Sub Cases Monthly'!B44:D44</f>
        <v>Professional Malpractice (SRS)</v>
      </c>
      <c r="C44" s="359"/>
      <c r="D44" s="360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21</v>
      </c>
      <c r="L44" s="109">
        <f>$R44*'Sub Cases Monthly'!L44</f>
        <v>7</v>
      </c>
      <c r="M44" s="109">
        <f>$R44*'Sub Cases Monthly'!M44</f>
        <v>14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168</v>
      </c>
      <c r="R44" s="324">
        <v>7</v>
      </c>
      <c r="S44" s="5"/>
    </row>
    <row r="45" spans="1:19" ht="20.100000000000001" customHeight="1" x14ac:dyDescent="0.2">
      <c r="B45" s="347" t="str">
        <f>'Sub Cases Monthly'!B45:D45</f>
        <v>Products Liability (SRS)</v>
      </c>
      <c r="C45" s="348"/>
      <c r="D45" s="349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7</v>
      </c>
      <c r="L45" s="112">
        <f>$R45*'Sub Cases Monthly'!L45</f>
        <v>0</v>
      </c>
      <c r="M45" s="112">
        <f>$R45*'Sub Cases Monthly'!M45</f>
        <v>7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28</v>
      </c>
      <c r="R45" s="325">
        <v>7</v>
      </c>
      <c r="S45" s="5"/>
    </row>
    <row r="46" spans="1:19" ht="20.100000000000001" customHeight="1" x14ac:dyDescent="0.2">
      <c r="B46" s="347" t="str">
        <f>'Sub Cases Monthly'!B46:D46</f>
        <v>Auto Negligence (SRS)</v>
      </c>
      <c r="C46" s="348"/>
      <c r="D46" s="349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553</v>
      </c>
      <c r="L46" s="115">
        <f>$R46*'Sub Cases Monthly'!L46</f>
        <v>455</v>
      </c>
      <c r="M46" s="115">
        <f>$R46*'Sub Cases Monthly'!M46</f>
        <v>315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4473</v>
      </c>
      <c r="R46" s="325">
        <v>7</v>
      </c>
      <c r="S46" s="5"/>
    </row>
    <row r="47" spans="1:19" ht="20.100000000000001" customHeight="1" x14ac:dyDescent="0.2">
      <c r="B47" s="347" t="str">
        <f>'Sub Cases Monthly'!B47:D47</f>
        <v>Condominium (SRS)</v>
      </c>
      <c r="C47" s="348"/>
      <c r="D47" s="349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6</v>
      </c>
      <c r="L47" s="112">
        <f>$R47*'Sub Cases Monthly'!L47</f>
        <v>0</v>
      </c>
      <c r="M47" s="112">
        <f>$R47*'Sub Cases Monthly'!M47</f>
        <v>18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60</v>
      </c>
      <c r="R47" s="325">
        <v>6</v>
      </c>
      <c r="S47" s="5"/>
    </row>
    <row r="48" spans="1:19" ht="20.100000000000001" customHeight="1" x14ac:dyDescent="0.2">
      <c r="B48" s="347" t="str">
        <f>'Sub Cases Monthly'!B48:D48</f>
        <v>Contract and Indebtedness (SRS)</v>
      </c>
      <c r="C48" s="348"/>
      <c r="D48" s="349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396</v>
      </c>
      <c r="L48" s="115">
        <f>$R48*'Sub Cases Monthly'!L48</f>
        <v>360</v>
      </c>
      <c r="M48" s="115">
        <f>$R48*'Sub Cases Monthly'!M48</f>
        <v>1026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5598</v>
      </c>
      <c r="R48" s="325">
        <v>6</v>
      </c>
      <c r="S48" s="5"/>
    </row>
    <row r="49" spans="2:19" ht="20.100000000000001" customHeight="1" x14ac:dyDescent="0.2">
      <c r="B49" s="347" t="str">
        <f>'Sub Cases Monthly'!B49:D49</f>
        <v>Eminent Domain Parcels (SRS)</v>
      </c>
      <c r="C49" s="348"/>
      <c r="D49" s="349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">
      <c r="B50" s="347" t="str">
        <f>'Sub Cases Monthly'!B50:D50</f>
        <v>Other Negligence (SRS)</v>
      </c>
      <c r="C50" s="348"/>
      <c r="D50" s="349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156</v>
      </c>
      <c r="L50" s="115">
        <f>$R50*'Sub Cases Monthly'!L50</f>
        <v>216</v>
      </c>
      <c r="M50" s="115">
        <f>$R50*'Sub Cases Monthly'!M50</f>
        <v>240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2094</v>
      </c>
      <c r="R50" s="325">
        <v>6</v>
      </c>
      <c r="S50" s="5"/>
    </row>
    <row r="51" spans="2:19" ht="20.100000000000001" customHeight="1" x14ac:dyDescent="0.2">
      <c r="B51" s="347" t="str">
        <f>'Sub Cases Monthly'!B51:D51</f>
        <v>Commercial Foreclosure (SRS)</v>
      </c>
      <c r="C51" s="348"/>
      <c r="D51" s="349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7</v>
      </c>
      <c r="L51" s="112">
        <f>$R51*'Sub Cases Monthly'!L51</f>
        <v>7</v>
      </c>
      <c r="M51" s="112">
        <f>$R51*'Sub Cases Monthly'!M51</f>
        <v>21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84</v>
      </c>
      <c r="R51" s="325">
        <v>7</v>
      </c>
      <c r="S51" s="5"/>
    </row>
    <row r="52" spans="2:19" ht="20.100000000000001" customHeight="1" x14ac:dyDescent="0.2">
      <c r="B52" s="347" t="str">
        <f>'Sub Cases Monthly'!B52:D52</f>
        <v>Homestead Residential Foreclosure (SRS)</v>
      </c>
      <c r="C52" s="348"/>
      <c r="D52" s="349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189</v>
      </c>
      <c r="L52" s="115">
        <f>$R52*'Sub Cases Monthly'!L52</f>
        <v>108</v>
      </c>
      <c r="M52" s="115">
        <f>$R52*'Sub Cases Monthly'!M52</f>
        <v>126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1125</v>
      </c>
      <c r="R52" s="325">
        <v>9</v>
      </c>
      <c r="S52" s="5"/>
    </row>
    <row r="53" spans="2:19" ht="20.100000000000001" customHeight="1" x14ac:dyDescent="0.2">
      <c r="B53" s="347" t="str">
        <f>'Sub Cases Monthly'!B53:D53</f>
        <v>Non-Homestead Residential Foreclosure (SRS)</v>
      </c>
      <c r="C53" s="348"/>
      <c r="D53" s="349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64</v>
      </c>
      <c r="L53" s="112">
        <f>$R53*'Sub Cases Monthly'!L53</f>
        <v>32</v>
      </c>
      <c r="M53" s="112">
        <f>$R53*'Sub Cases Monthly'!M53</f>
        <v>72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608</v>
      </c>
      <c r="R53" s="325">
        <v>8</v>
      </c>
      <c r="S53" s="5"/>
    </row>
    <row r="54" spans="2:19" ht="20.100000000000001" customHeight="1" x14ac:dyDescent="0.2">
      <c r="B54" s="347" t="str">
        <f>'Sub Cases Monthly'!B54:D54</f>
        <v>Other Real Property Actions (SRS)</v>
      </c>
      <c r="C54" s="348"/>
      <c r="D54" s="349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224</v>
      </c>
      <c r="L54" s="115">
        <f>$R54*'Sub Cases Monthly'!L54</f>
        <v>189</v>
      </c>
      <c r="M54" s="115">
        <f>$R54*'Sub Cases Monthly'!M54</f>
        <v>154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1659</v>
      </c>
      <c r="R54" s="325">
        <v>7</v>
      </c>
      <c r="S54" s="5"/>
    </row>
    <row r="55" spans="2:19" ht="20.100000000000001" customHeight="1" x14ac:dyDescent="0.2">
      <c r="B55" s="347" t="str">
        <f>'Sub Cases Monthly'!B55:D55</f>
        <v>Other Civil (SRS)</v>
      </c>
      <c r="C55" s="348"/>
      <c r="D55" s="349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560</v>
      </c>
      <c r="L55" s="112">
        <f>$R55*'Sub Cases Monthly'!L55</f>
        <v>440</v>
      </c>
      <c r="M55" s="112">
        <f>$R55*'Sub Cases Monthly'!M55</f>
        <v>430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3365</v>
      </c>
      <c r="R55" s="325">
        <v>5</v>
      </c>
      <c r="S55" s="5"/>
    </row>
    <row r="56" spans="2:19" ht="20.100000000000001" customHeight="1" x14ac:dyDescent="0.2">
      <c r="B56" s="347" t="str">
        <f>'Sub Cases Monthly'!B56:D56</f>
        <v>*Involuntary Civil Commitment of Sexually Violent Predators (SRS)</v>
      </c>
      <c r="C56" s="348"/>
      <c r="D56" s="349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7" t="str">
        <f>'Sub Cases Monthly'!B57:D57</f>
        <v>*Appeals (AP cases) from County to Circuit Court (SRS)</v>
      </c>
      <c r="C57" s="348"/>
      <c r="D57" s="349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28</v>
      </c>
      <c r="R57" s="325">
        <v>4</v>
      </c>
      <c r="S57" s="5"/>
    </row>
    <row r="58" spans="2:19" ht="20.100000000000001" customHeight="1" x14ac:dyDescent="0.2">
      <c r="B58" s="347" t="str">
        <f>'Sub Cases Monthly'!B58:D58</f>
        <v>Writs of Certiorari (SRS)</v>
      </c>
      <c r="C58" s="348"/>
      <c r="D58" s="349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7" t="str">
        <f>'Sub Cases Monthly'!B59:D59</f>
        <v>Medical Extensions (Petitions to Extend) (Non-SRS)</v>
      </c>
      <c r="C59" s="348"/>
      <c r="D59" s="349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8</v>
      </c>
      <c r="L59" s="112">
        <f>$R59*'Sub Cases Monthly'!L59</f>
        <v>5</v>
      </c>
      <c r="M59" s="112">
        <f>$R59*'Sub Cases Monthly'!M59</f>
        <v>1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50</v>
      </c>
      <c r="R59" s="325">
        <v>1</v>
      </c>
      <c r="S59" s="5"/>
    </row>
    <row r="60" spans="2:19" ht="20.100000000000001" customHeight="1" x14ac:dyDescent="0.2">
      <c r="B60" s="347" t="str">
        <f>'Sub Cases Monthly'!B60:D60</f>
        <v>Transfers of Lien to Security (Non-SRS)</v>
      </c>
      <c r="C60" s="348"/>
      <c r="D60" s="349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3</v>
      </c>
      <c r="L60" s="115">
        <f>$R60*'Sub Cases Monthly'!L60</f>
        <v>6</v>
      </c>
      <c r="M60" s="115">
        <f>$R60*'Sub Cases Monthly'!M60</f>
        <v>24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54</v>
      </c>
      <c r="R60" s="325">
        <v>3</v>
      </c>
      <c r="S60" s="5"/>
    </row>
    <row r="61" spans="2:19" ht="20.100000000000001" customHeight="1" x14ac:dyDescent="0.2">
      <c r="B61" s="347" t="str">
        <f>'Sub Cases Monthly'!B61:D61</f>
        <v>Civil Contempt for FTA for Jury Duty (Non-SRS)</v>
      </c>
      <c r="C61" s="348"/>
      <c r="D61" s="349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7" t="str">
        <f>'Sub Cases Monthly'!B62:D62</f>
        <v>Confirmation of Arbitration (Non-SRS)</v>
      </c>
      <c r="C62" s="348"/>
      <c r="D62" s="349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7" t="str">
        <f>'Sub Cases Monthly'!B63:D63</f>
        <v>Out of State Commission for Foreign Subpoena (Non-SRS)</v>
      </c>
      <c r="C63" s="348"/>
      <c r="D63" s="349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6</v>
      </c>
      <c r="L63" s="112">
        <f>$R63*'Sub Cases Monthly'!L63</f>
        <v>2</v>
      </c>
      <c r="M63" s="112">
        <f>$R63*'Sub Cases Monthly'!M63</f>
        <v>8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50</v>
      </c>
      <c r="R63" s="325">
        <v>2</v>
      </c>
      <c r="S63" s="5"/>
    </row>
    <row r="64" spans="2:19" ht="20.100000000000001" customHeight="1" x14ac:dyDescent="0.2">
      <c r="B64" s="347" t="str">
        <f>'Sub Cases Monthly'!B64:D64</f>
        <v>Foreign Judgments (Non-SRS)</v>
      </c>
      <c r="C64" s="348"/>
      <c r="D64" s="349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6</v>
      </c>
      <c r="L64" s="115">
        <f>$R64*'Sub Cases Monthly'!L64</f>
        <v>3</v>
      </c>
      <c r="M64" s="115">
        <f>$R64*'Sub Cases Monthly'!M64</f>
        <v>3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54</v>
      </c>
      <c r="R64" s="326">
        <v>3</v>
      </c>
      <c r="S64" s="5"/>
    </row>
    <row r="65" spans="1:19" ht="20.100000000000001" customHeight="1" thickBot="1" x14ac:dyDescent="0.25">
      <c r="B65" s="352" t="str">
        <f>'Sub Cases Monthly'!B65:D65</f>
        <v>Cases unable to be categorized</v>
      </c>
      <c r="C65" s="353"/>
      <c r="D65" s="354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55" t="str">
        <f>'Sub Cases Monthly'!B66:D66</f>
        <v>Total Circuit Civil =</v>
      </c>
      <c r="C66" s="356"/>
      <c r="D66" s="357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2206</v>
      </c>
      <c r="L66" s="73">
        <f t="shared" si="14"/>
        <v>1830</v>
      </c>
      <c r="M66" s="73">
        <f t="shared" si="14"/>
        <v>2459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19519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8" t="str">
        <f>'Sub Cases Monthly'!B69:D69</f>
        <v>Small Claims (up to $5,000) (SRS)</v>
      </c>
      <c r="C69" s="359"/>
      <c r="D69" s="360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2424</v>
      </c>
      <c r="L69" s="151">
        <f>$R69*'Sub Cases Monthly'!L69</f>
        <v>4242</v>
      </c>
      <c r="M69" s="151">
        <f>$R69*'Sub Cases Monthly'!M69</f>
        <v>3480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28590</v>
      </c>
      <c r="R69" s="317">
        <v>6</v>
      </c>
      <c r="S69" s="5"/>
    </row>
    <row r="70" spans="1:19" ht="20.100000000000001" customHeight="1" x14ac:dyDescent="0.2">
      <c r="B70" s="347" t="str">
        <f>'Sub Cases Monthly'!B70:D70</f>
        <v>Small Claims ($5,001 - $8,000) (SRS)</v>
      </c>
      <c r="C70" s="348"/>
      <c r="D70" s="349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636</v>
      </c>
      <c r="M70" s="112">
        <f>$R70*'Sub Cases Monthly'!M70</f>
        <v>828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1464</v>
      </c>
      <c r="R70" s="318">
        <v>6</v>
      </c>
      <c r="S70" s="5"/>
    </row>
    <row r="71" spans="1:19" ht="20.100000000000001" hidden="1" customHeight="1" x14ac:dyDescent="0.2">
      <c r="B71" s="347" t="str">
        <f>'Sub Cases Monthly'!B71:D71</f>
        <v>Civil ($5,001 - $15,000) (SRS)</v>
      </c>
      <c r="C71" s="348"/>
      <c r="D71" s="349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7" t="str">
        <f>'Sub Cases Monthly'!B72:D72</f>
        <v>Civil ($8,001 - $15,000) (SRS)</v>
      </c>
      <c r="C72" s="348"/>
      <c r="D72" s="349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490</v>
      </c>
      <c r="L72" s="112">
        <f>$R72*'Sub Cases Monthly'!L72</f>
        <v>570</v>
      </c>
      <c r="M72" s="112">
        <f>$R72*'Sub Cases Monthly'!M72</f>
        <v>505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5035</v>
      </c>
      <c r="R72" s="328">
        <v>5</v>
      </c>
      <c r="S72" s="5"/>
    </row>
    <row r="73" spans="1:19" ht="20.100000000000001" customHeight="1" x14ac:dyDescent="0.2">
      <c r="B73" s="347" t="str">
        <f>'Sub Cases Monthly'!B73:D73</f>
        <v>Civil ($15,001 - $30,000) (SRS)</v>
      </c>
      <c r="C73" s="348"/>
      <c r="D73" s="349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385</v>
      </c>
      <c r="L73" s="303">
        <f>$R73*'Sub Cases Monthly'!L73</f>
        <v>430</v>
      </c>
      <c r="M73" s="303">
        <f>$R73*'Sub Cases Monthly'!M73</f>
        <v>605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3785</v>
      </c>
      <c r="R73" s="328">
        <v>5</v>
      </c>
      <c r="S73" s="5"/>
    </row>
    <row r="74" spans="1:19" ht="20.100000000000001" customHeight="1" x14ac:dyDescent="0.2">
      <c r="B74" s="347" t="str">
        <f>'Sub Cases Monthly'!B74:D74</f>
        <v>Replevins (SRS)</v>
      </c>
      <c r="C74" s="348"/>
      <c r="D74" s="349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24</v>
      </c>
      <c r="L74" s="112">
        <f>$R74*'Sub Cases Monthly'!L74</f>
        <v>16</v>
      </c>
      <c r="M74" s="112">
        <f>$R74*'Sub Cases Monthly'!M74</f>
        <v>8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156</v>
      </c>
      <c r="R74" s="318">
        <v>4</v>
      </c>
      <c r="S74" s="5"/>
    </row>
    <row r="75" spans="1:19" ht="20.100000000000001" customHeight="1" x14ac:dyDescent="0.2">
      <c r="B75" s="347" t="str">
        <f>'Sub Cases Monthly'!B75:D75</f>
        <v>Evictions (SRS)</v>
      </c>
      <c r="C75" s="348"/>
      <c r="D75" s="349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678</v>
      </c>
      <c r="M75" s="115">
        <f>$R75*'Sub Cases Monthly'!M75</f>
        <v>1092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3024</v>
      </c>
      <c r="R75" s="318">
        <v>6</v>
      </c>
      <c r="S75" s="5"/>
    </row>
    <row r="76" spans="1:19" ht="20.100000000000001" customHeight="1" x14ac:dyDescent="0.2">
      <c r="B76" s="347" t="str">
        <f>'Sub Cases Monthly'!B76:D76</f>
        <v>Other County Civil (Non-Monetary) (SRS)</v>
      </c>
      <c r="C76" s="348"/>
      <c r="D76" s="349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8</v>
      </c>
      <c r="L76" s="112">
        <f>$R76*'Sub Cases Monthly'!L76</f>
        <v>8</v>
      </c>
      <c r="M76" s="112">
        <f>$R76*'Sub Cases Monthly'!M76</f>
        <v>20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132</v>
      </c>
      <c r="R76" s="318">
        <v>4</v>
      </c>
      <c r="S76" s="5"/>
    </row>
    <row r="77" spans="1:19" ht="20.100000000000001" customHeight="1" x14ac:dyDescent="0.2">
      <c r="B77" s="347" t="str">
        <f>'Sub Cases Monthly'!B77:D77</f>
        <v>Registry Deposits without an Underlying Case (Non-SRS)</v>
      </c>
      <c r="C77" s="348"/>
      <c r="D77" s="349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6</v>
      </c>
      <c r="H77" s="115">
        <f>$R77*'Sub Cases Monthly'!H77</f>
        <v>3</v>
      </c>
      <c r="I77" s="115">
        <f>$R77*'Sub Cases Monthly'!I77</f>
        <v>0</v>
      </c>
      <c r="J77" s="115">
        <f>$R77*'Sub Cases Monthly'!J77</f>
        <v>3</v>
      </c>
      <c r="K77" s="115">
        <f>$R77*'Sub Cases Monthly'!K77</f>
        <v>3</v>
      </c>
      <c r="L77" s="115">
        <f>$R77*'Sub Cases Monthly'!L77</f>
        <v>0</v>
      </c>
      <c r="M77" s="115">
        <f>$R77*'Sub Cases Monthly'!M77</f>
        <v>6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21</v>
      </c>
      <c r="R77" s="319">
        <v>3</v>
      </c>
      <c r="S77" s="5"/>
    </row>
    <row r="78" spans="1:19" ht="20.100000000000001" customHeight="1" x14ac:dyDescent="0.2">
      <c r="B78" s="347" t="str">
        <f>'Sub Cases Monthly'!B78:D78</f>
        <v>Foreign Judgments (Non-SRS)</v>
      </c>
      <c r="C78" s="348"/>
      <c r="D78" s="349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6</v>
      </c>
      <c r="L78" s="112">
        <f>$R78*'Sub Cases Monthly'!L78</f>
        <v>6</v>
      </c>
      <c r="M78" s="112">
        <f>$R78*'Sub Cases Monthly'!M78</f>
        <v>15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63</v>
      </c>
      <c r="R78" s="329">
        <v>3</v>
      </c>
      <c r="S78" s="5"/>
    </row>
    <row r="79" spans="1:19" ht="20.100000000000001" customHeight="1" x14ac:dyDescent="0.2">
      <c r="B79" s="347" t="str">
        <f>'Sub Cases Monthly'!B79:D79</f>
        <v>Applications for Voluntary Binding Arbitration (Non-SRS)</v>
      </c>
      <c r="C79" s="348"/>
      <c r="D79" s="349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0</v>
      </c>
      <c r="R79" s="321">
        <v>2</v>
      </c>
      <c r="S79" s="5"/>
    </row>
    <row r="80" spans="1:19" ht="20.100000000000001" customHeight="1" thickBot="1" x14ac:dyDescent="0.25">
      <c r="B80" s="352" t="str">
        <f>'Sub Cases Monthly'!B80:D80</f>
        <v>Cases unable to be categorized</v>
      </c>
      <c r="C80" s="353"/>
      <c r="D80" s="354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55" t="str">
        <f>'Sub Cases Monthly'!B81:D81</f>
        <v>Total County Civil =</v>
      </c>
      <c r="C81" s="356"/>
      <c r="D81" s="357"/>
      <c r="E81" s="91">
        <f t="shared" ref="E81:P81" si="17">SUM(E69:E80)</f>
        <v>4290</v>
      </c>
      <c r="F81" s="73">
        <f t="shared" si="17"/>
        <v>4275</v>
      </c>
      <c r="G81" s="73">
        <f t="shared" si="17"/>
        <v>3967</v>
      </c>
      <c r="H81" s="73">
        <f t="shared" si="17"/>
        <v>3846</v>
      </c>
      <c r="I81" s="73">
        <f t="shared" si="17"/>
        <v>5295</v>
      </c>
      <c r="J81" s="73">
        <f t="shared" si="17"/>
        <v>4112</v>
      </c>
      <c r="K81" s="73">
        <f t="shared" si="17"/>
        <v>3340</v>
      </c>
      <c r="L81" s="73">
        <f t="shared" si="17"/>
        <v>6586</v>
      </c>
      <c r="M81" s="73">
        <f t="shared" si="17"/>
        <v>6559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42270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8" t="str">
        <f>'Sub Cases Monthly'!B84:D84</f>
        <v>Probate (SRS)</v>
      </c>
      <c r="C84" s="359"/>
      <c r="D84" s="360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1512</v>
      </c>
      <c r="L84" s="109">
        <f>$R84*'Sub Cases Monthly'!L84</f>
        <v>1463</v>
      </c>
      <c r="M84" s="109">
        <f>$R84*'Sub Cases Monthly'!M84</f>
        <v>1463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13279</v>
      </c>
      <c r="R84" s="317">
        <v>7</v>
      </c>
      <c r="S84" s="5"/>
    </row>
    <row r="85" spans="2:19" ht="20.100000000000001" customHeight="1" x14ac:dyDescent="0.2">
      <c r="B85" s="347" t="str">
        <f>'Sub Cases Monthly'!B85:D85</f>
        <v>Guardianship (SRS)</v>
      </c>
      <c r="C85" s="348"/>
      <c r="D85" s="349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220</v>
      </c>
      <c r="L85" s="112">
        <f>$R85*'Sub Cases Monthly'!L85</f>
        <v>250</v>
      </c>
      <c r="M85" s="112">
        <f>$R85*'Sub Cases Monthly'!M85</f>
        <v>340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2130</v>
      </c>
      <c r="R85" s="318">
        <v>10</v>
      </c>
      <c r="S85" s="5"/>
    </row>
    <row r="86" spans="2:19" ht="20.100000000000001" customHeight="1" x14ac:dyDescent="0.2">
      <c r="B86" s="347" t="str">
        <f>'Sub Cases Monthly'!B86:D86</f>
        <v>Probate Trust (SRS)</v>
      </c>
      <c r="C86" s="348"/>
      <c r="D86" s="349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7</v>
      </c>
      <c r="L86" s="115">
        <f>$R86*'Sub Cases Monthly'!L86</f>
        <v>14</v>
      </c>
      <c r="M86" s="115">
        <f>$R86*'Sub Cases Monthly'!M86</f>
        <v>28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154</v>
      </c>
      <c r="R86" s="318">
        <v>7</v>
      </c>
      <c r="S86" s="5"/>
    </row>
    <row r="87" spans="2:19" ht="20.100000000000001" customHeight="1" x14ac:dyDescent="0.2">
      <c r="B87" s="347" t="str">
        <f>'Sub Cases Monthly'!B87:D87</f>
        <v>Baker Act (SRS)</v>
      </c>
      <c r="C87" s="348"/>
      <c r="D87" s="349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378</v>
      </c>
      <c r="L87" s="112">
        <f>$R87*'Sub Cases Monthly'!L87</f>
        <v>426</v>
      </c>
      <c r="M87" s="112">
        <f>$R87*'Sub Cases Monthly'!M87</f>
        <v>576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3750</v>
      </c>
      <c r="R87" s="318">
        <v>6</v>
      </c>
      <c r="S87" s="5"/>
    </row>
    <row r="88" spans="2:19" ht="20.100000000000001" customHeight="1" x14ac:dyDescent="0.2">
      <c r="B88" s="347" t="str">
        <f>'Sub Cases Monthly'!B88:D88</f>
        <v>Substance Abuse Act (SRS)</v>
      </c>
      <c r="C88" s="348"/>
      <c r="D88" s="349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132</v>
      </c>
      <c r="L88" s="115">
        <f>$R88*'Sub Cases Monthly'!L88</f>
        <v>84</v>
      </c>
      <c r="M88" s="115">
        <f>$R88*'Sub Cases Monthly'!M88</f>
        <v>132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858</v>
      </c>
      <c r="R88" s="318">
        <v>6</v>
      </c>
      <c r="S88" s="5"/>
    </row>
    <row r="89" spans="2:19" ht="20.100000000000001" customHeight="1" x14ac:dyDescent="0.2">
      <c r="B89" s="347" t="str">
        <f>'Sub Cases Monthly'!B89:D89</f>
        <v>Other Social (SRS)</v>
      </c>
      <c r="C89" s="348"/>
      <c r="D89" s="349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40</v>
      </c>
      <c r="L89" s="112">
        <f>$R89*'Sub Cases Monthly'!L89</f>
        <v>44</v>
      </c>
      <c r="M89" s="112">
        <f>$R89*'Sub Cases Monthly'!M89</f>
        <v>56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384</v>
      </c>
      <c r="R89" s="318">
        <v>4</v>
      </c>
      <c r="S89" s="5"/>
    </row>
    <row r="90" spans="2:19" ht="20.100000000000001" customHeight="1" x14ac:dyDescent="0.2">
      <c r="B90" s="347" t="str">
        <f>'Sub Cases Monthly'!B90:D90</f>
        <v>*Involuntary Civil Commitment of Sexually Violent Predators (SRS)</v>
      </c>
      <c r="C90" s="348"/>
      <c r="D90" s="349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7" t="str">
        <f>'Sub Cases Monthly'!B91:D91</f>
        <v>Risk Protection Orders (SRS)</v>
      </c>
      <c r="C91" s="348"/>
      <c r="D91" s="349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12</v>
      </c>
      <c r="L91" s="112">
        <f>$R91*'Sub Cases Monthly'!L91</f>
        <v>30</v>
      </c>
      <c r="M91" s="112">
        <f>$R91*'Sub Cases Monthly'!M91</f>
        <v>36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186</v>
      </c>
      <c r="R91" s="328">
        <v>6</v>
      </c>
      <c r="S91" s="5"/>
    </row>
    <row r="92" spans="2:19" ht="20.100000000000001" customHeight="1" x14ac:dyDescent="0.2">
      <c r="B92" s="347" t="str">
        <f>'Sub Cases Monthly'!B92:D92</f>
        <v>Wills on Deposit (Non-SRS)</v>
      </c>
      <c r="C92" s="348"/>
      <c r="D92" s="349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148</v>
      </c>
      <c r="L92" s="115">
        <f>$R92*'Sub Cases Monthly'!L92</f>
        <v>103</v>
      </c>
      <c r="M92" s="115">
        <f>$R92*'Sub Cases Monthly'!M92</f>
        <v>148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1200</v>
      </c>
      <c r="R92" s="318">
        <v>1</v>
      </c>
      <c r="S92" s="5"/>
    </row>
    <row r="93" spans="2:19" ht="20.100000000000001" customHeight="1" x14ac:dyDescent="0.2">
      <c r="B93" s="347" t="str">
        <f>'Sub Cases Monthly'!B93:D93</f>
        <v>Pre-Need Guardianship (Non-SRS)</v>
      </c>
      <c r="C93" s="348"/>
      <c r="D93" s="349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98</v>
      </c>
      <c r="L93" s="112">
        <f>$R93*'Sub Cases Monthly'!L93</f>
        <v>104</v>
      </c>
      <c r="M93" s="112">
        <f>$R93*'Sub Cases Monthly'!M93</f>
        <v>119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873</v>
      </c>
      <c r="R93" s="318">
        <v>1</v>
      </c>
      <c r="S93" s="5"/>
    </row>
    <row r="94" spans="2:19" ht="20.100000000000001" customHeight="1" x14ac:dyDescent="0.2">
      <c r="B94" s="347" t="str">
        <f>'Sub Cases Monthly'!B94:D94</f>
        <v>Notice of Trust (Non-SRS)</v>
      </c>
      <c r="C94" s="348"/>
      <c r="D94" s="349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46</v>
      </c>
      <c r="L94" s="115">
        <f>$R94*'Sub Cases Monthly'!L94</f>
        <v>41</v>
      </c>
      <c r="M94" s="115">
        <f>$R94*'Sub Cases Monthly'!M94</f>
        <v>46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379</v>
      </c>
      <c r="R94" s="318">
        <v>1</v>
      </c>
      <c r="S94" s="5"/>
    </row>
    <row r="95" spans="2:19" ht="20.100000000000001" customHeight="1" x14ac:dyDescent="0.2">
      <c r="B95" s="347" t="str">
        <f>'Sub Cases Monthly'!B95:D95</f>
        <v>Petition to Open Safe Deposit Box (Non-SRS)</v>
      </c>
      <c r="C95" s="348"/>
      <c r="D95" s="349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4</v>
      </c>
      <c r="L95" s="112">
        <f>$R95*'Sub Cases Monthly'!L95</f>
        <v>2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16</v>
      </c>
      <c r="R95" s="319">
        <v>2</v>
      </c>
      <c r="S95" s="5"/>
    </row>
    <row r="96" spans="2:19" ht="20.100000000000001" customHeight="1" x14ac:dyDescent="0.2">
      <c r="B96" s="347" t="str">
        <f>'Sub Cases Monthly'!B96:D96</f>
        <v>Caveat (Non-SRS)</v>
      </c>
      <c r="C96" s="348"/>
      <c r="D96" s="349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12</v>
      </c>
      <c r="L96" s="115">
        <f>$R96*'Sub Cases Monthly'!L96</f>
        <v>4</v>
      </c>
      <c r="M96" s="115">
        <f>$R96*'Sub Cases Monthly'!M96</f>
        <v>10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90</v>
      </c>
      <c r="R96" s="319">
        <v>2</v>
      </c>
      <c r="S96" s="5"/>
    </row>
    <row r="97" spans="1:19" ht="20.100000000000001" customHeight="1" x14ac:dyDescent="0.2">
      <c r="B97" s="347" t="str">
        <f>'Sub Cases Monthly'!B97:D97</f>
        <v>Petition to Gain Entry to Apartment of Dwelling (Non-SRS)</v>
      </c>
      <c r="C97" s="348"/>
      <c r="D97" s="349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7" t="str">
        <f>'Sub Cases Monthly'!B98:D98</f>
        <v>Cert of Person's Imminent Dangerousness (Non-SRS)</v>
      </c>
      <c r="C98" s="348"/>
      <c r="D98" s="349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7" t="str">
        <f>'Sub Cases Monthly'!B99:D99</f>
        <v>2Professional Guardian Files (Non-SRS)</v>
      </c>
      <c r="C99" s="348"/>
      <c r="D99" s="349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7" t="str">
        <f>'Sub Cases Monthly'!B100:D100</f>
        <v>Vulnerable Adults (SRS)</v>
      </c>
      <c r="C100" s="348"/>
      <c r="D100" s="349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6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6</v>
      </c>
      <c r="R100" s="322">
        <v>6</v>
      </c>
      <c r="S100" s="5"/>
    </row>
    <row r="101" spans="1:19" ht="20.100000000000001" customHeight="1" thickBot="1" x14ac:dyDescent="0.25">
      <c r="B101" s="352" t="str">
        <f>'Sub Cases Monthly'!B101:D101</f>
        <v>Cases unable to be categorized</v>
      </c>
      <c r="C101" s="353"/>
      <c r="D101" s="354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55" t="str">
        <f>'Sub Cases Monthly'!B102:D102</f>
        <v>Total Probate =</v>
      </c>
      <c r="C102" s="356"/>
      <c r="D102" s="357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2615</v>
      </c>
      <c r="L102" s="73">
        <f t="shared" si="20"/>
        <v>2565</v>
      </c>
      <c r="M102" s="73">
        <f t="shared" si="20"/>
        <v>2954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23313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8" t="str">
        <f>'Sub Cases Monthly'!B105:D105</f>
        <v>Simplified Dissolution (SRS)</v>
      </c>
      <c r="C105" s="359"/>
      <c r="D105" s="360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92</v>
      </c>
      <c r="L105" s="109">
        <f>$R105*'Sub Cases Monthly'!L105</f>
        <v>76</v>
      </c>
      <c r="M105" s="109">
        <f>$R105*'Sub Cases Monthly'!M105</f>
        <v>68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692</v>
      </c>
      <c r="R105" s="317">
        <v>4</v>
      </c>
    </row>
    <row r="106" spans="1:19" s="11" customFormat="1" ht="20.100000000000001" customHeight="1" x14ac:dyDescent="0.2">
      <c r="A106" s="10"/>
      <c r="B106" s="347" t="str">
        <f>'Sub Cases Monthly'!B106:D106</f>
        <v>Dissolution (SRS)</v>
      </c>
      <c r="C106" s="348"/>
      <c r="D106" s="349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1602</v>
      </c>
      <c r="L106" s="112">
        <f>$R106*'Sub Cases Monthly'!L106</f>
        <v>1557</v>
      </c>
      <c r="M106" s="112">
        <f>$R106*'Sub Cases Monthly'!M106</f>
        <v>1557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12402</v>
      </c>
      <c r="R106" s="318">
        <v>9</v>
      </c>
    </row>
    <row r="107" spans="1:19" s="11" customFormat="1" ht="20.100000000000001" customHeight="1" x14ac:dyDescent="0.2">
      <c r="A107" s="10"/>
      <c r="B107" s="347" t="str">
        <f>'Sub Cases Monthly'!B107:D107</f>
        <v>Injunctions for Protection (SRS)</v>
      </c>
      <c r="C107" s="348"/>
      <c r="D107" s="349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870</v>
      </c>
      <c r="L107" s="115">
        <f>$R107*'Sub Cases Monthly'!L107</f>
        <v>984</v>
      </c>
      <c r="M107" s="115">
        <f>$R107*'Sub Cases Monthly'!M107</f>
        <v>1404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9612</v>
      </c>
      <c r="R107" s="318">
        <v>6</v>
      </c>
    </row>
    <row r="108" spans="1:19" s="11" customFormat="1" ht="20.100000000000001" customHeight="1" x14ac:dyDescent="0.2">
      <c r="A108" s="10"/>
      <c r="B108" s="347" t="str">
        <f>'Sub Cases Monthly'!B108:D108</f>
        <v>Support (IV-D and Non IV-D) (SRS)</v>
      </c>
      <c r="C108" s="348"/>
      <c r="D108" s="349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104</v>
      </c>
      <c r="L108" s="112">
        <f>$R108*'Sub Cases Monthly'!L108</f>
        <v>272</v>
      </c>
      <c r="M108" s="112">
        <f>$R108*'Sub Cases Monthly'!M108</f>
        <v>176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1432</v>
      </c>
      <c r="R108" s="318">
        <v>8</v>
      </c>
    </row>
    <row r="109" spans="1:19" s="11" customFormat="1" ht="20.100000000000001" customHeight="1" x14ac:dyDescent="0.2">
      <c r="A109" s="10"/>
      <c r="B109" s="347" t="str">
        <f>'Sub Cases Monthly'!B109:D109</f>
        <v>UIFSA (IV-D and Non IV-D) (SRS)</v>
      </c>
      <c r="C109" s="348"/>
      <c r="D109" s="349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18</v>
      </c>
      <c r="M109" s="115">
        <f>$R109*'Sub Cases Monthly'!M109</f>
        <v>30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66</v>
      </c>
      <c r="R109" s="318">
        <v>6</v>
      </c>
    </row>
    <row r="110" spans="1:19" s="11" customFormat="1" ht="20.100000000000001" customHeight="1" x14ac:dyDescent="0.2">
      <c r="A110" s="10"/>
      <c r="B110" s="347" t="str">
        <f>'Sub Cases Monthly'!B110:D110</f>
        <v>Other Family Court (SRS)</v>
      </c>
      <c r="C110" s="348"/>
      <c r="D110" s="349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45</v>
      </c>
      <c r="L110" s="112">
        <f>$R110*'Sub Cases Monthly'!L110</f>
        <v>70</v>
      </c>
      <c r="M110" s="112">
        <f>$R110*'Sub Cases Monthly'!M110</f>
        <v>60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585</v>
      </c>
      <c r="R110" s="318">
        <v>5</v>
      </c>
    </row>
    <row r="111" spans="1:19" s="11" customFormat="1" ht="20.100000000000001" customHeight="1" x14ac:dyDescent="0.2">
      <c r="A111" s="10"/>
      <c r="B111" s="347" t="str">
        <f>'Sub Cases Monthly'!B111:D111</f>
        <v>Adoption Arising out of Chapter 63 (SRS)</v>
      </c>
      <c r="C111" s="348"/>
      <c r="D111" s="349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60</v>
      </c>
      <c r="L111" s="115">
        <f>$R111*'Sub Cases Monthly'!L111</f>
        <v>72</v>
      </c>
      <c r="M111" s="115">
        <f>$R111*'Sub Cases Monthly'!M111</f>
        <v>84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648</v>
      </c>
      <c r="R111" s="318">
        <v>4</v>
      </c>
    </row>
    <row r="112" spans="1:19" s="11" customFormat="1" ht="20.100000000000001" customHeight="1" x14ac:dyDescent="0.2">
      <c r="A112" s="10"/>
      <c r="B112" s="347" t="str">
        <f>'Sub Cases Monthly'!B112:D112</f>
        <v>Name Change (SRS)</v>
      </c>
      <c r="C112" s="348"/>
      <c r="D112" s="349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145</v>
      </c>
      <c r="L112" s="112">
        <f>$R112*'Sub Cases Monthly'!L112</f>
        <v>140</v>
      </c>
      <c r="M112" s="112">
        <f>$R112*'Sub Cases Monthly'!M112</f>
        <v>90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910</v>
      </c>
      <c r="R112" s="318">
        <v>5</v>
      </c>
    </row>
    <row r="113" spans="1:19" s="11" customFormat="1" ht="20.100000000000001" customHeight="1" x14ac:dyDescent="0.2">
      <c r="A113" s="10"/>
      <c r="B113" s="347" t="str">
        <f>'Sub Cases Monthly'!B113:D113</f>
        <v>Paternity/Disestablishment of Paternity (SRS)</v>
      </c>
      <c r="C113" s="348"/>
      <c r="D113" s="349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168</v>
      </c>
      <c r="L113" s="115">
        <f>$R113*'Sub Cases Monthly'!L113</f>
        <v>217</v>
      </c>
      <c r="M113" s="115">
        <f>$R113*'Sub Cases Monthly'!M113</f>
        <v>259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2107</v>
      </c>
      <c r="R113" s="318">
        <v>7</v>
      </c>
    </row>
    <row r="114" spans="1:19" s="11" customFormat="1" ht="20.100000000000001" customHeight="1" x14ac:dyDescent="0.2">
      <c r="A114" s="10"/>
      <c r="B114" s="347" t="str">
        <f>'Sub Cases Monthly'!B114:D114</f>
        <v>New Cases (Non-SRS)</v>
      </c>
      <c r="C114" s="348"/>
      <c r="D114" s="349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58</v>
      </c>
      <c r="L114" s="112">
        <f>$R114*'Sub Cases Monthly'!L114</f>
        <v>98</v>
      </c>
      <c r="M114" s="112">
        <f>$R114*'Sub Cases Monthly'!M114</f>
        <v>144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762</v>
      </c>
      <c r="R114" s="319">
        <v>2</v>
      </c>
    </row>
    <row r="115" spans="1:19" s="11" customFormat="1" ht="20.100000000000001" customHeight="1" thickBot="1" x14ac:dyDescent="0.25">
      <c r="A115" s="10"/>
      <c r="B115" s="352" t="str">
        <f>'Sub Cases Monthly'!B115:D115</f>
        <v>Cases unable to be categorized</v>
      </c>
      <c r="C115" s="353"/>
      <c r="D115" s="354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55" t="str">
        <f>'Sub Cases Monthly'!B116:D116</f>
        <v>Total Family =</v>
      </c>
      <c r="C116" s="356"/>
      <c r="D116" s="357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3144</v>
      </c>
      <c r="L116" s="73">
        <f t="shared" si="23"/>
        <v>3504</v>
      </c>
      <c r="M116" s="73">
        <f t="shared" si="23"/>
        <v>3872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29216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8" t="str">
        <f>'Sub Cases Monthly'!B119:D119</f>
        <v>Dependency Initiating Petitions (SRS)</v>
      </c>
      <c r="C119" s="359"/>
      <c r="D119" s="360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270</v>
      </c>
      <c r="L119" s="109">
        <f>$R119*'Sub Cases Monthly'!L119</f>
        <v>198</v>
      </c>
      <c r="M119" s="109">
        <f>$R119*'Sub Cases Monthly'!M119</f>
        <v>351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2457</v>
      </c>
      <c r="R119" s="317">
        <v>9</v>
      </c>
      <c r="S119" s="5"/>
    </row>
    <row r="120" spans="1:19" ht="20.100000000000001" customHeight="1" x14ac:dyDescent="0.2">
      <c r="B120" s="347" t="str">
        <f>'Sub Cases Monthly'!B120:D120</f>
        <v>Petitions to Remove Disabilities of Non-Age Minors (743.015) (SRS)</v>
      </c>
      <c r="C120" s="348"/>
      <c r="D120" s="349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3</v>
      </c>
      <c r="L120" s="112">
        <f>$R120*'Sub Cases Monthly'!L120</f>
        <v>3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6</v>
      </c>
      <c r="R120" s="318">
        <v>3</v>
      </c>
      <c r="S120" s="5"/>
    </row>
    <row r="121" spans="1:19" ht="20.100000000000001" customHeight="1" x14ac:dyDescent="0.2">
      <c r="B121" s="347" t="str">
        <f>'Sub Cases Monthly'!B121:D121</f>
        <v>CINS/FINS (SRS)</v>
      </c>
      <c r="C121" s="348"/>
      <c r="D121" s="349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7" t="str">
        <f>'Sub Cases Monthly'!B122:D122</f>
        <v>Parental Notice of Abortion Act (SRS)</v>
      </c>
      <c r="C122" s="348"/>
      <c r="D122" s="349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3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9</v>
      </c>
      <c r="R122" s="318">
        <v>3</v>
      </c>
      <c r="S122" s="5"/>
    </row>
    <row r="123" spans="1:19" ht="20.100000000000001" customHeight="1" x14ac:dyDescent="0.2">
      <c r="B123" s="347" t="str">
        <f>'Sub Cases Monthly'!B123:D123</f>
        <v>Truancy (Non-SRS)</v>
      </c>
      <c r="C123" s="348"/>
      <c r="D123" s="349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7" t="str">
        <f>'Sub Cases Monthly'!B124:D124</f>
        <v>Transfers for Jurisdiction/Supervision Only (Non-SRS)</v>
      </c>
      <c r="C124" s="348"/>
      <c r="D124" s="349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7" t="str">
        <f>'Sub Cases Monthly'!B125:D125</f>
        <v>DCF Dependency Petition for Injunction per Chapter 39 (Non-SRS)</v>
      </c>
      <c r="C125" s="348"/>
      <c r="D125" s="349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7" t="str">
        <f>'Sub Cases Monthly'!B126:D126</f>
        <v>Other New Cases (Non-SRS)</v>
      </c>
      <c r="C126" s="348"/>
      <c r="D126" s="349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52" t="str">
        <f>'Sub Cases Monthly'!B127:D127</f>
        <v>Cases unable to be categorized</v>
      </c>
      <c r="C127" s="353"/>
      <c r="D127" s="354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55" t="str">
        <f>'Sub Cases Monthly'!B128:D128</f>
        <v>Total Juvenile Dependency =</v>
      </c>
      <c r="C128" s="356"/>
      <c r="D128" s="357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276</v>
      </c>
      <c r="L128" s="73">
        <f t="shared" si="26"/>
        <v>201</v>
      </c>
      <c r="M128" s="73">
        <f t="shared" si="26"/>
        <v>351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2484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70" t="str">
        <f>'Sub Cases Monthly'!B131:D131</f>
        <v>Uniform Traffic Citations</v>
      </c>
      <c r="C131" s="371"/>
      <c r="D131" s="372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5143.5</v>
      </c>
      <c r="L131" s="334">
        <f>$R131*'Sub Cases Monthly'!L131</f>
        <v>5229</v>
      </c>
      <c r="M131" s="334">
        <f>$R131*'Sub Cases Monthly'!M131</f>
        <v>5491.5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47503.5</v>
      </c>
      <c r="R131" s="332">
        <v>1.5</v>
      </c>
      <c r="S131" s="5"/>
    </row>
    <row r="132" spans="1:19" ht="20.100000000000001" customHeight="1" thickTop="1" thickBot="1" x14ac:dyDescent="0.25">
      <c r="B132" s="367" t="str">
        <f>'Sub Cases Monthly'!B132:D132</f>
        <v>Total Civil Traffic - UTCs =</v>
      </c>
      <c r="C132" s="368"/>
      <c r="D132" s="369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5143.5</v>
      </c>
      <c r="L132" s="73">
        <f t="shared" si="29"/>
        <v>5229</v>
      </c>
      <c r="M132" s="73">
        <f t="shared" si="29"/>
        <v>5491.5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47503.5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51" t="s">
        <v>408</v>
      </c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June</v>
      </c>
      <c r="C9" s="49" t="str">
        <f>IF('Sub Cases Monthly'!H4="",TEXT(EDATE(B5,-1),"MMMM"),'Sub Cases Monthly'!H4)</f>
        <v>June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June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Reports\Outputs\June\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4</v>
      </c>
      <c r="O21" s="338">
        <f>'Sub Cases Monthly'!M11</f>
        <v>4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3</v>
      </c>
      <c r="O22" s="338">
        <f>'Sub Cases Monthly'!M12</f>
        <v>1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10</v>
      </c>
      <c r="N23" s="338">
        <f>'Sub Cases Monthly'!L13</f>
        <v>6</v>
      </c>
      <c r="O23" s="338">
        <f>'Sub Cases Monthly'!M13</f>
        <v>10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561</v>
      </c>
      <c r="N24" s="338">
        <f>'Sub Cases Monthly'!L14</f>
        <v>528</v>
      </c>
      <c r="O24" s="338">
        <f>'Sub Cases Monthly'!M14</f>
        <v>644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15</v>
      </c>
      <c r="N26" s="338">
        <f>'Sub Cases Monthly'!L16</f>
        <v>13</v>
      </c>
      <c r="O26" s="338">
        <f>'Sub Cases Monthly'!M16</f>
        <v>24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24</v>
      </c>
      <c r="N27" s="338">
        <f>'Sub Cases Monthly'!L17</f>
        <v>13</v>
      </c>
      <c r="O27" s="338">
        <f>'Sub Cases Monthly'!M17</f>
        <v>11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422</v>
      </c>
      <c r="N29" s="338">
        <f>'Sub Cases Monthly'!L22</f>
        <v>504</v>
      </c>
      <c r="O29" s="338">
        <f>'Sub Cases Monthly'!M22</f>
        <v>433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8</v>
      </c>
      <c r="N30" s="338">
        <f>'Sub Cases Monthly'!L23</f>
        <v>14</v>
      </c>
      <c r="O30" s="338">
        <f>'Sub Cases Monthly'!M23</f>
        <v>11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189</v>
      </c>
      <c r="N31" s="338">
        <f>'Sub Cases Monthly'!L24</f>
        <v>207</v>
      </c>
      <c r="O31" s="338">
        <f>'Sub Cases Monthly'!M24</f>
        <v>244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73</v>
      </c>
      <c r="N35" s="338">
        <f>'Sub Cases Monthly'!L31</f>
        <v>53</v>
      </c>
      <c r="O35" s="338">
        <f>'Sub Cases Monthly'!M31</f>
        <v>52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2</v>
      </c>
      <c r="O36" s="338">
        <f>'Sub Cases Monthly'!M32</f>
        <v>1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17</v>
      </c>
      <c r="N37" s="338">
        <f>'Sub Cases Monthly'!L33</f>
        <v>1</v>
      </c>
      <c r="O37" s="338">
        <f>'Sub Cases Monthly'!M33</f>
        <v>2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241</v>
      </c>
      <c r="N39" s="338">
        <f>'Sub Cases Monthly'!L38</f>
        <v>212</v>
      </c>
      <c r="O39" s="338">
        <f>'Sub Cases Monthly'!M38</f>
        <v>240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642</v>
      </c>
      <c r="N40" s="338">
        <f>'Sub Cases Monthly'!L39</f>
        <v>602</v>
      </c>
      <c r="O40" s="338">
        <f>'Sub Cases Monthly'!M39</f>
        <v>659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1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3</v>
      </c>
      <c r="N42" s="338">
        <f>'Sub Cases Monthly'!L44</f>
        <v>1</v>
      </c>
      <c r="O42" s="338">
        <f>'Sub Cases Monthly'!M44</f>
        <v>2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1</v>
      </c>
      <c r="N43" s="338">
        <f>'Sub Cases Monthly'!L45</f>
        <v>0</v>
      </c>
      <c r="O43" s="338">
        <f>'Sub Cases Monthly'!M45</f>
        <v>1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79</v>
      </c>
      <c r="N44" s="338">
        <f>'Sub Cases Monthly'!L46</f>
        <v>65</v>
      </c>
      <c r="O44" s="338">
        <f>'Sub Cases Monthly'!M46</f>
        <v>45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1</v>
      </c>
      <c r="N45" s="338">
        <f>'Sub Cases Monthly'!L47</f>
        <v>0</v>
      </c>
      <c r="O45" s="338">
        <f>'Sub Cases Monthly'!M47</f>
        <v>3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66</v>
      </c>
      <c r="N46" s="338">
        <f>'Sub Cases Monthly'!L48</f>
        <v>60</v>
      </c>
      <c r="O46" s="338">
        <f>'Sub Cases Monthly'!M48</f>
        <v>171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26</v>
      </c>
      <c r="N48" s="338">
        <f>'Sub Cases Monthly'!L50</f>
        <v>36</v>
      </c>
      <c r="O48" s="338">
        <f>'Sub Cases Monthly'!M50</f>
        <v>40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1</v>
      </c>
      <c r="N49" s="338">
        <f>'Sub Cases Monthly'!L51</f>
        <v>1</v>
      </c>
      <c r="O49" s="338">
        <f>'Sub Cases Monthly'!M51</f>
        <v>3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21</v>
      </c>
      <c r="N50" s="338">
        <f>'Sub Cases Monthly'!L52</f>
        <v>12</v>
      </c>
      <c r="O50" s="338">
        <f>'Sub Cases Monthly'!M52</f>
        <v>14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8</v>
      </c>
      <c r="N51" s="338">
        <f>'Sub Cases Monthly'!L53</f>
        <v>4</v>
      </c>
      <c r="O51" s="338">
        <f>'Sub Cases Monthly'!M53</f>
        <v>9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32</v>
      </c>
      <c r="N52" s="338">
        <f>'Sub Cases Monthly'!L54</f>
        <v>27</v>
      </c>
      <c r="O52" s="338">
        <f>'Sub Cases Monthly'!M54</f>
        <v>22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112</v>
      </c>
      <c r="N53" s="338">
        <f>'Sub Cases Monthly'!L55</f>
        <v>88</v>
      </c>
      <c r="O53" s="338">
        <f>'Sub Cases Monthly'!M55</f>
        <v>86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8</v>
      </c>
      <c r="N57" s="338">
        <f>'Sub Cases Monthly'!L59</f>
        <v>5</v>
      </c>
      <c r="O57" s="338">
        <f>'Sub Cases Monthly'!M59</f>
        <v>1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1</v>
      </c>
      <c r="N58" s="338">
        <f>'Sub Cases Monthly'!L60</f>
        <v>2</v>
      </c>
      <c r="O58" s="338">
        <f>'Sub Cases Monthly'!M60</f>
        <v>8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3</v>
      </c>
      <c r="N61" s="338">
        <f>'Sub Cases Monthly'!L63</f>
        <v>1</v>
      </c>
      <c r="O61" s="338">
        <f>'Sub Cases Monthly'!M63</f>
        <v>4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2</v>
      </c>
      <c r="N62" s="338">
        <f>'Sub Cases Monthly'!L64</f>
        <v>1</v>
      </c>
      <c r="O62" s="338">
        <f>'Sub Cases Monthly'!M64</f>
        <v>1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404</v>
      </c>
      <c r="N64" s="338">
        <f>'Sub Cases Monthly'!L69</f>
        <v>707</v>
      </c>
      <c r="O64" s="338">
        <f>'Sub Cases Monthly'!M69</f>
        <v>580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106</v>
      </c>
      <c r="O65" s="338">
        <f>'Sub Cases Monthly'!M70</f>
        <v>138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98</v>
      </c>
      <c r="N67" s="338">
        <f>'Sub Cases Monthly'!L72</f>
        <v>114</v>
      </c>
      <c r="O67" s="338">
        <f>'Sub Cases Monthly'!M72</f>
        <v>101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77</v>
      </c>
      <c r="N68" s="338">
        <f>'Sub Cases Monthly'!L73</f>
        <v>86</v>
      </c>
      <c r="O68" s="338">
        <f>'Sub Cases Monthly'!M73</f>
        <v>121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6</v>
      </c>
      <c r="N69" s="338">
        <f>'Sub Cases Monthly'!L74</f>
        <v>4</v>
      </c>
      <c r="O69" s="338">
        <f>'Sub Cases Monthly'!M74</f>
        <v>2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113</v>
      </c>
      <c r="O70" s="338">
        <f>'Sub Cases Monthly'!M75</f>
        <v>182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2</v>
      </c>
      <c r="N71" s="338">
        <f>'Sub Cases Monthly'!L76</f>
        <v>2</v>
      </c>
      <c r="O71" s="338">
        <f>'Sub Cases Monthly'!M76</f>
        <v>5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2</v>
      </c>
      <c r="J72" s="338">
        <f>'Sub Cases Monthly'!H77</f>
        <v>1</v>
      </c>
      <c r="K72" s="338">
        <f>'Sub Cases Monthly'!I77</f>
        <v>0</v>
      </c>
      <c r="L72" s="338">
        <f>'Sub Cases Monthly'!J77</f>
        <v>1</v>
      </c>
      <c r="M72" s="338">
        <f>'Sub Cases Monthly'!K77</f>
        <v>1</v>
      </c>
      <c r="N72" s="338">
        <f>'Sub Cases Monthly'!L77</f>
        <v>0</v>
      </c>
      <c r="O72" s="338">
        <f>'Sub Cases Monthly'!M77</f>
        <v>2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2</v>
      </c>
      <c r="N73" s="338">
        <f>'Sub Cases Monthly'!L78</f>
        <v>2</v>
      </c>
      <c r="O73" s="338">
        <f>'Sub Cases Monthly'!M78</f>
        <v>5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216</v>
      </c>
      <c r="N76" s="338">
        <f>'Sub Cases Monthly'!L84</f>
        <v>209</v>
      </c>
      <c r="O76" s="338">
        <f>'Sub Cases Monthly'!M84</f>
        <v>209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22</v>
      </c>
      <c r="N77" s="338">
        <f>'Sub Cases Monthly'!L85</f>
        <v>25</v>
      </c>
      <c r="O77" s="338">
        <f>'Sub Cases Monthly'!M85</f>
        <v>34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1</v>
      </c>
      <c r="N78" s="338">
        <f>'Sub Cases Monthly'!L86</f>
        <v>2</v>
      </c>
      <c r="O78" s="338">
        <f>'Sub Cases Monthly'!M86</f>
        <v>4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63</v>
      </c>
      <c r="N79" s="338">
        <f>'Sub Cases Monthly'!L87</f>
        <v>71</v>
      </c>
      <c r="O79" s="338">
        <f>'Sub Cases Monthly'!M87</f>
        <v>96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22</v>
      </c>
      <c r="N80" s="338">
        <f>'Sub Cases Monthly'!L88</f>
        <v>14</v>
      </c>
      <c r="O80" s="338">
        <f>'Sub Cases Monthly'!M88</f>
        <v>22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10</v>
      </c>
      <c r="N81" s="338">
        <f>'Sub Cases Monthly'!L89</f>
        <v>11</v>
      </c>
      <c r="O81" s="338">
        <f>'Sub Cases Monthly'!M89</f>
        <v>14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2</v>
      </c>
      <c r="N83" s="338">
        <f>'Sub Cases Monthly'!L91</f>
        <v>5</v>
      </c>
      <c r="O83" s="338">
        <f>'Sub Cases Monthly'!M91</f>
        <v>6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148</v>
      </c>
      <c r="N84" s="338">
        <f>'Sub Cases Monthly'!L92</f>
        <v>103</v>
      </c>
      <c r="O84" s="338">
        <f>'Sub Cases Monthly'!M92</f>
        <v>148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98</v>
      </c>
      <c r="N85" s="338">
        <f>'Sub Cases Monthly'!L93</f>
        <v>104</v>
      </c>
      <c r="O85" s="338">
        <f>'Sub Cases Monthly'!M93</f>
        <v>119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46</v>
      </c>
      <c r="N86" s="338">
        <f>'Sub Cases Monthly'!L94</f>
        <v>41</v>
      </c>
      <c r="O86" s="338">
        <f>'Sub Cases Monthly'!M94</f>
        <v>46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2</v>
      </c>
      <c r="N87" s="338">
        <f>'Sub Cases Monthly'!L95</f>
        <v>1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6</v>
      </c>
      <c r="N88" s="338">
        <f>'Sub Cases Monthly'!L96</f>
        <v>2</v>
      </c>
      <c r="O88" s="338">
        <f>'Sub Cases Monthly'!M96</f>
        <v>5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1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23</v>
      </c>
      <c r="N94" s="338">
        <f>'Sub Cases Monthly'!L105</f>
        <v>19</v>
      </c>
      <c r="O94" s="338">
        <f>'Sub Cases Monthly'!M105</f>
        <v>17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178</v>
      </c>
      <c r="N95" s="338">
        <f>'Sub Cases Monthly'!L106</f>
        <v>173</v>
      </c>
      <c r="O95" s="338">
        <f>'Sub Cases Monthly'!M106</f>
        <v>173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145</v>
      </c>
      <c r="N96" s="338">
        <f>'Sub Cases Monthly'!L107</f>
        <v>164</v>
      </c>
      <c r="O96" s="338">
        <f>'Sub Cases Monthly'!M107</f>
        <v>234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13</v>
      </c>
      <c r="N97" s="338">
        <f>'Sub Cases Monthly'!L108</f>
        <v>34</v>
      </c>
      <c r="O97" s="338">
        <f>'Sub Cases Monthly'!M108</f>
        <v>22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3</v>
      </c>
      <c r="O98" s="338">
        <f>'Sub Cases Monthly'!M109</f>
        <v>5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9</v>
      </c>
      <c r="N99" s="338">
        <f>'Sub Cases Monthly'!L110</f>
        <v>14</v>
      </c>
      <c r="O99" s="338">
        <f>'Sub Cases Monthly'!M110</f>
        <v>12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15</v>
      </c>
      <c r="N100" s="338">
        <f>'Sub Cases Monthly'!L111</f>
        <v>18</v>
      </c>
      <c r="O100" s="338">
        <f>'Sub Cases Monthly'!M111</f>
        <v>21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29</v>
      </c>
      <c r="N101" s="338">
        <f>'Sub Cases Monthly'!L112</f>
        <v>28</v>
      </c>
      <c r="O101" s="338">
        <f>'Sub Cases Monthly'!M112</f>
        <v>18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24</v>
      </c>
      <c r="N102" s="338">
        <f>'Sub Cases Monthly'!L113</f>
        <v>31</v>
      </c>
      <c r="O102" s="338">
        <f>'Sub Cases Monthly'!M113</f>
        <v>37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29</v>
      </c>
      <c r="N103" s="338">
        <f>'Sub Cases Monthly'!L114</f>
        <v>49</v>
      </c>
      <c r="O103" s="338">
        <f>'Sub Cases Monthly'!M114</f>
        <v>72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30</v>
      </c>
      <c r="N105" s="338">
        <f>'Sub Cases Monthly'!L119</f>
        <v>22</v>
      </c>
      <c r="O105" s="338">
        <f>'Sub Cases Monthly'!M119</f>
        <v>39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1</v>
      </c>
      <c r="N106" s="338">
        <f>'Sub Cases Monthly'!L120</f>
        <v>1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1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3429</v>
      </c>
      <c r="N114" s="338">
        <f>'Sub Cases Monthly'!L131</f>
        <v>3486</v>
      </c>
      <c r="O114" s="338">
        <f>'Sub Cases Monthly'!M131</f>
        <v>3661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814</v>
      </c>
      <c r="N119" s="338">
        <f>'Outputs Monthly'!L23</f>
        <v>808</v>
      </c>
      <c r="O119" s="338">
        <f>'Outputs Monthly'!M23</f>
        <v>849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90</v>
      </c>
      <c r="N120" s="338">
        <f>'Outputs Monthly'!L24</f>
        <v>79</v>
      </c>
      <c r="O120" s="338">
        <f>'Outputs Monthly'!M24</f>
        <v>91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206</v>
      </c>
      <c r="N121" s="338">
        <f>'Outputs Monthly'!L25</f>
        <v>158</v>
      </c>
      <c r="O121" s="338">
        <f>'Outputs Monthly'!M25</f>
        <v>242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129</v>
      </c>
      <c r="N122" s="338">
        <f>'Outputs Monthly'!L26</f>
        <v>143</v>
      </c>
      <c r="O122" s="338">
        <f>'Outputs Monthly'!M26</f>
        <v>139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129</v>
      </c>
      <c r="N123" s="338">
        <f>'Outputs Monthly'!L27</f>
        <v>105</v>
      </c>
      <c r="O123" s="338">
        <f>'Outputs Monthly'!M27</f>
        <v>109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233</v>
      </c>
      <c r="N124" s="338">
        <f>'Outputs Monthly'!L28</f>
        <v>261</v>
      </c>
      <c r="O124" s="338">
        <f>'Outputs Monthly'!M28</f>
        <v>293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231</v>
      </c>
      <c r="N125" s="338">
        <f>'Outputs Monthly'!L29</f>
        <v>215</v>
      </c>
      <c r="O125" s="338">
        <f>'Outputs Monthly'!M29</f>
        <v>237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526</v>
      </c>
      <c r="N126" s="338">
        <f>'Outputs Monthly'!L30</f>
        <v>415</v>
      </c>
      <c r="O126" s="338">
        <f>'Outputs Monthly'!M30</f>
        <v>744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88</v>
      </c>
      <c r="N127" s="338">
        <f>'Outputs Monthly'!L31</f>
        <v>69</v>
      </c>
      <c r="O127" s="338">
        <f>'Outputs Monthly'!M31</f>
        <v>76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15</v>
      </c>
      <c r="N129" s="338">
        <f>'Outputs Monthly'!L36</f>
        <v>25</v>
      </c>
      <c r="O129" s="338">
        <f>'Outputs Monthly'!M36</f>
        <v>24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2</v>
      </c>
      <c r="N130" s="338">
        <f>'Outputs Monthly'!L37</f>
        <v>0</v>
      </c>
      <c r="O130" s="338">
        <f>'Outputs Monthly'!M37</f>
        <v>4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11</v>
      </c>
      <c r="N132" s="338">
        <f>'Outputs Monthly'!L39</f>
        <v>4</v>
      </c>
      <c r="O132" s="338">
        <f>'Outputs Monthly'!M39</f>
        <v>10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2</v>
      </c>
      <c r="N133" s="338">
        <f>'Outputs Monthly'!L40</f>
        <v>9</v>
      </c>
      <c r="O133" s="338">
        <f>'Outputs Monthly'!M40</f>
        <v>47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1</v>
      </c>
      <c r="N134" s="338">
        <f>'Outputs Monthly'!L41</f>
        <v>1</v>
      </c>
      <c r="O134" s="338">
        <f>'Outputs Monthly'!M41</f>
        <v>1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5</v>
      </c>
      <c r="N135" s="338">
        <f>'Outputs Monthly'!L42</f>
        <v>2</v>
      </c>
      <c r="O135" s="338">
        <f>'Outputs Monthly'!M42</f>
        <v>3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5</v>
      </c>
      <c r="N136" s="338">
        <f>'Outputs Monthly'!L43</f>
        <v>8</v>
      </c>
      <c r="O136" s="338">
        <f>'Outputs Monthly'!M43</f>
        <v>6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3</v>
      </c>
      <c r="N137" s="338">
        <f>'Outputs Monthly'!L44</f>
        <v>1</v>
      </c>
      <c r="O137" s="338">
        <f>'Outputs Monthly'!M44</f>
        <v>3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1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89193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36291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7405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16709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51976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43670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25357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39184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1015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31373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1863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2016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196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2349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214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1217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1838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1589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94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9903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88901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36167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7399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16213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17031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20404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24892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36671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1015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30388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0.99570000000000003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0.99209999999999998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0.97509999999999997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0.90449999999999997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0.19869999999999999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0.56840000000000002</v>
      </c>
      <c r="H174" s="339">
        <f>'Timeliness Quarterly'!H28</f>
        <v>0.30330000000000001</v>
      </c>
      <c r="I174" s="339">
        <f>'Timeliness Quarterly'!I28</f>
        <v>0.42549999999999999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0.95330000000000004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0.98760000000000003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0.93640000000000001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0.99670000000000003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0.99660000000000004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0.99919999999999998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0.97030000000000005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0.32769999999999999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0.4672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0.98170000000000002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0.93589999999999995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0.96860000000000002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 t="str">
        <f>'Timeliness Quarterly'!P23</f>
        <v>Staffing - Internal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 t="str">
        <f>'Timeliness Quarterly'!P26</f>
        <v>Staffing - Internal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 t="str">
        <f>'Timeliness Quarterly'!P58</f>
        <v>Staffing - Internal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 t="str">
        <f>'Timeliness Quarterly'!P61</f>
        <v>Staffing - Internal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 t="str">
        <f>'Timeliness Quarterly'!Q23</f>
        <v>Staff shortages and implementation of changes related to AOSC 20-23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 t="str">
        <f>'Timeliness Quarterly'!Q26</f>
        <v>Staff shortages and implementation of changes related to AOSC 20-23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 t="str">
        <f>'Timeliness Quarterly'!Q58</f>
        <v>Staff shortages and implementation of changes related to AOSC 20-23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 t="str">
        <f>'Timeliness Quarterly'!Q61</f>
        <v>Staff shortages and implementation of changes related to AOSC 20-23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1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1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1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1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2021-07-19T19:18:24Z</cp:lastPrinted>
  <dcterms:created xsi:type="dcterms:W3CDTF">1996-10-14T23:33:28Z</dcterms:created>
  <dcterms:modified xsi:type="dcterms:W3CDTF">2022-02-24T15:08:04Z</dcterms:modified>
</cp:coreProperties>
</file>